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N:\Sales-Marketing\Marketing\Website\Conflict Mineral Statement\"/>
    </mc:Choice>
  </mc:AlternateContent>
  <workbookProtection workbookAlgorithmName="SHA-512" workbookHashValue="plh7fvcLCwL5OhvyRMKDImS5P3ciYDcjBWEMmcAEuHdB+4aXWAvXN7I2ckC0FtAirE40vJGTAFdzo+JeJ29NqA==" workbookSaltValue="dC+hdmO340H7nnyO5O1sDw==" workbookSpinCount="100000" lockStructure="1"/>
  <bookViews>
    <workbookView xWindow="0" yWindow="0" windowWidth="28800" windowHeight="1230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S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G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C610" i="5"/>
  <c r="V610" i="5" s="1"/>
  <c r="V606" i="5"/>
  <c r="V604" i="5"/>
  <c r="J604" i="5" s="1"/>
  <c r="T604" i="5" s="1"/>
  <c r="V598" i="5"/>
  <c r="G598" i="5" s="1"/>
  <c r="V594" i="5"/>
  <c r="V590" i="5"/>
  <c r="G590" i="5" s="1"/>
  <c r="V586" i="5"/>
  <c r="V584" i="5"/>
  <c r="V582" i="5"/>
  <c r="V572" i="5"/>
  <c r="J572" i="5" s="1"/>
  <c r="V570" i="5"/>
  <c r="R570" i="5" s="1"/>
  <c r="V568" i="5"/>
  <c r="F568" i="5" s="1"/>
  <c r="V566" i="5"/>
  <c r="V564" i="5"/>
  <c r="V563" i="5"/>
  <c r="I563" i="5" s="1"/>
  <c r="V560" i="5"/>
  <c r="G560" i="5" s="1"/>
  <c r="V559" i="5"/>
  <c r="I559" i="5" s="1"/>
  <c r="V558" i="5"/>
  <c r="R558" i="5" s="1"/>
  <c r="V555" i="5"/>
  <c r="I555" i="5" s="1"/>
  <c r="V552" i="5"/>
  <c r="V551" i="5"/>
  <c r="V550" i="5"/>
  <c r="R550" i="5" s="1"/>
  <c r="V548" i="5"/>
  <c r="R548" i="5" s="1"/>
  <c r="V547" i="5"/>
  <c r="I547" i="5" s="1"/>
  <c r="V546" i="5"/>
  <c r="R546" i="5" s="1"/>
  <c r="V544" i="5"/>
  <c r="V543" i="5"/>
  <c r="V542" i="5"/>
  <c r="V540" i="5"/>
  <c r="V539" i="5"/>
  <c r="V536" i="5"/>
  <c r="J536" i="5" s="1"/>
  <c r="V535" i="5"/>
  <c r="I535" i="5" s="1"/>
  <c r="V532" i="5"/>
  <c r="V531" i="5"/>
  <c r="V530" i="5"/>
  <c r="R530" i="5" s="1"/>
  <c r="V528" i="5"/>
  <c r="H528" i="5" s="1"/>
  <c r="V527" i="5"/>
  <c r="H527" i="5" s="1"/>
  <c r="V526" i="5"/>
  <c r="V523" i="5"/>
  <c r="I523" i="5" s="1"/>
  <c r="V520" i="5"/>
  <c r="V519" i="5"/>
  <c r="I519" i="5" s="1"/>
  <c r="V516" i="5"/>
  <c r="V515" i="5"/>
  <c r="V514" i="5"/>
  <c r="R514" i="5" s="1"/>
  <c r="V512" i="5"/>
  <c r="V511" i="5"/>
  <c r="I511" i="5" s="1"/>
  <c r="V510" i="5"/>
  <c r="V508" i="5"/>
  <c r="V507" i="5"/>
  <c r="V504" i="5"/>
  <c r="J504" i="5" s="1"/>
  <c r="V503" i="5"/>
  <c r="I503" i="5" s="1"/>
  <c r="V500" i="5"/>
  <c r="R500" i="5" s="1"/>
  <c r="V499" i="5"/>
  <c r="V498" i="5"/>
  <c r="R498" i="5" s="1"/>
  <c r="V495" i="5"/>
  <c r="I495" i="5" s="1"/>
  <c r="V494" i="5"/>
  <c r="V492" i="5"/>
  <c r="V491" i="5"/>
  <c r="I491" i="5" s="1"/>
  <c r="V488" i="5"/>
  <c r="J488" i="5" s="1"/>
  <c r="V487" i="5"/>
  <c r="V484" i="5"/>
  <c r="R484" i="5" s="1"/>
  <c r="V483" i="5"/>
  <c r="V482" i="5"/>
  <c r="R482" i="5" s="1"/>
  <c r="V480" i="5"/>
  <c r="H480" i="5" s="1"/>
  <c r="V479" i="5"/>
  <c r="V478" i="5"/>
  <c r="V476" i="5"/>
  <c r="R476" i="5" s="1"/>
  <c r="V471" i="5"/>
  <c r="V470" i="5"/>
  <c r="V468" i="5"/>
  <c r="V464" i="5"/>
  <c r="V461" i="5"/>
  <c r="V459" i="5"/>
  <c r="V457" i="5"/>
  <c r="H457" i="5" s="1"/>
  <c r="V456" i="5"/>
  <c r="V455" i="5"/>
  <c r="V453" i="5"/>
  <c r="V452" i="5"/>
  <c r="V451" i="5"/>
  <c r="V449" i="5"/>
  <c r="V448" i="5"/>
  <c r="V445" i="5"/>
  <c r="F445" i="5" s="1"/>
  <c r="V444" i="5"/>
  <c r="F444" i="5" s="1"/>
  <c r="V441" i="5"/>
  <c r="R441" i="5" s="1"/>
  <c r="V440" i="5"/>
  <c r="R440" i="5" s="1"/>
  <c r="V437" i="5"/>
  <c r="E437" i="5" s="1"/>
  <c r="X437" i="5" s="1"/>
  <c r="V436" i="5"/>
  <c r="V433" i="5"/>
  <c r="R433" i="5" s="1"/>
  <c r="V432" i="5"/>
  <c r="R432" i="5" s="1"/>
  <c r="V429" i="5"/>
  <c r="V428" i="5"/>
  <c r="V425" i="5"/>
  <c r="R425" i="5" s="1"/>
  <c r="V424" i="5"/>
  <c r="R424" i="5" s="1"/>
  <c r="V421" i="5"/>
  <c r="V420" i="5"/>
  <c r="F420" i="5" s="1"/>
  <c r="V417" i="5"/>
  <c r="R417" i="5" s="1"/>
  <c r="V416" i="5"/>
  <c r="R416" i="5" s="1"/>
  <c r="V413" i="5"/>
  <c r="F413" i="5" s="1"/>
  <c r="V412" i="5"/>
  <c r="F412" i="5" s="1"/>
  <c r="V409" i="5"/>
  <c r="V408" i="5"/>
  <c r="R408" i="5" s="1"/>
  <c r="V405" i="5"/>
  <c r="F405" i="5" s="1"/>
  <c r="V404" i="5"/>
  <c r="F404" i="5" s="1"/>
  <c r="V401" i="5"/>
  <c r="V400" i="5"/>
  <c r="R400" i="5" s="1"/>
  <c r="V399" i="5"/>
  <c r="I399" i="5" s="1"/>
  <c r="V397" i="5"/>
  <c r="V396" i="5"/>
  <c r="V393" i="5"/>
  <c r="V392" i="5"/>
  <c r="V389" i="5"/>
  <c r="V388" i="5"/>
  <c r="V387" i="5"/>
  <c r="I387" i="5" s="1"/>
  <c r="V385" i="5"/>
  <c r="V384" i="5"/>
  <c r="V383" i="5"/>
  <c r="V381" i="5"/>
  <c r="V380" i="5"/>
  <c r="V377" i="5"/>
  <c r="E377" i="5" s="1"/>
  <c r="X377" i="5" s="1"/>
  <c r="V376" i="5"/>
  <c r="V373" i="5"/>
  <c r="V372" i="5"/>
  <c r="V371" i="5"/>
  <c r="V369" i="5"/>
  <c r="R369" i="5" s="1"/>
  <c r="V368" i="5"/>
  <c r="H368" i="5" s="1"/>
  <c r="V364" i="5"/>
  <c r="I364" i="5" s="1"/>
  <c r="V363" i="5"/>
  <c r="I363" i="5" s="1"/>
  <c r="V361" i="5"/>
  <c r="V360" i="5"/>
  <c r="V357" i="5"/>
  <c r="V356" i="5"/>
  <c r="V353" i="5"/>
  <c r="V352" i="5"/>
  <c r="V351" i="5"/>
  <c r="V349" i="5"/>
  <c r="V348" i="5"/>
  <c r="V347" i="5"/>
  <c r="V345" i="5"/>
  <c r="V344" i="5"/>
  <c r="I344" i="5" s="1"/>
  <c r="V343" i="5"/>
  <c r="V341" i="5"/>
  <c r="E341" i="5" s="1"/>
  <c r="V338" i="5"/>
  <c r="J338" i="5" s="1"/>
  <c r="V337" i="5"/>
  <c r="V336" i="5"/>
  <c r="R336" i="5" s="1"/>
  <c r="V335" i="5"/>
  <c r="V333" i="5"/>
  <c r="V332" i="5"/>
  <c r="R332" i="5" s="1"/>
  <c r="V331" i="5"/>
  <c r="V329" i="5"/>
  <c r="R329" i="5" s="1"/>
  <c r="V327" i="5"/>
  <c r="V326" i="5"/>
  <c r="V325" i="5"/>
  <c r="F325" i="5" s="1"/>
  <c r="V323" i="5"/>
  <c r="V322" i="5"/>
  <c r="R322" i="5" s="1"/>
  <c r="V321" i="5"/>
  <c r="V319" i="5"/>
  <c r="V318" i="5"/>
  <c r="V317" i="5"/>
  <c r="F317" i="5" s="1"/>
  <c r="V315" i="5"/>
  <c r="V313" i="5"/>
  <c r="R313" i="5" s="1"/>
  <c r="V311" i="5"/>
  <c r="V310" i="5"/>
  <c r="V309" i="5"/>
  <c r="V307" i="5"/>
  <c r="V304" i="5"/>
  <c r="V302" i="5"/>
  <c r="V301" i="5"/>
  <c r="V299" i="5"/>
  <c r="V298" i="5"/>
  <c r="V295" i="5"/>
  <c r="V294" i="5"/>
  <c r="V291" i="5"/>
  <c r="V289" i="5"/>
  <c r="V286" i="5"/>
  <c r="V285" i="5"/>
  <c r="V283" i="5"/>
  <c r="R283" i="5" s="1"/>
  <c r="V282" i="5"/>
  <c r="V278" i="5"/>
  <c r="V275" i="5"/>
  <c r="V274" i="5"/>
  <c r="V273" i="5"/>
  <c r="V271" i="5"/>
  <c r="X271" i="5" s="1"/>
  <c r="V270" i="5"/>
  <c r="V269" i="5"/>
  <c r="X269" i="5" s="1"/>
  <c r="V267" i="5"/>
  <c r="V266" i="5"/>
  <c r="V263" i="5"/>
  <c r="R263" i="5" s="1"/>
  <c r="V259" i="5"/>
  <c r="V258" i="5"/>
  <c r="V257" i="5"/>
  <c r="X257" i="5" s="1"/>
  <c r="V255" i="5"/>
  <c r="R255" i="5" s="1"/>
  <c r="V254" i="5"/>
  <c r="V253" i="5"/>
  <c r="R253" i="5" s="1"/>
  <c r="V250" i="5"/>
  <c r="V249" i="5"/>
  <c r="V247" i="5"/>
  <c r="V246" i="5"/>
  <c r="V245" i="5"/>
  <c r="V242" i="5"/>
  <c r="V241" i="5"/>
  <c r="V238" i="5"/>
  <c r="V237" i="5"/>
  <c r="V235" i="5"/>
  <c r="V234" i="5"/>
  <c r="V233" i="5"/>
  <c r="R233" i="5" s="1"/>
  <c r="V231" i="5"/>
  <c r="V230" i="5"/>
  <c r="V229" i="5"/>
  <c r="V227" i="5"/>
  <c r="V226" i="5"/>
  <c r="V225" i="5"/>
  <c r="V223" i="5"/>
  <c r="V222" i="5"/>
  <c r="V221" i="5"/>
  <c r="V219" i="5"/>
  <c r="R219" i="5" s="1"/>
  <c r="V218" i="5"/>
  <c r="V217" i="5"/>
  <c r="V214" i="5"/>
  <c r="V213" i="5"/>
  <c r="X213" i="5" s="1"/>
  <c r="V210" i="5"/>
  <c r="X210" i="5" s="1"/>
  <c r="V209" i="5"/>
  <c r="V206" i="5"/>
  <c r="V205" i="5"/>
  <c r="R205" i="5" s="1"/>
  <c r="V203" i="5"/>
  <c r="V202" i="5"/>
  <c r="V199" i="5"/>
  <c r="V198" i="5"/>
  <c r="V197" i="5"/>
  <c r="V195" i="5"/>
  <c r="V193" i="5"/>
  <c r="V190" i="5"/>
  <c r="X190" i="5" s="1"/>
  <c r="V187" i="5"/>
  <c r="V186" i="5"/>
  <c r="V185" i="5"/>
  <c r="R185" i="5" s="1"/>
  <c r="V183" i="5"/>
  <c r="V182" i="5"/>
  <c r="V181" i="5"/>
  <c r="V179" i="5"/>
  <c r="V178" i="5"/>
  <c r="V177" i="5"/>
  <c r="V174" i="5"/>
  <c r="V173" i="5"/>
  <c r="V171" i="5"/>
  <c r="V170" i="5"/>
  <c r="V169" i="5"/>
  <c r="V167" i="5"/>
  <c r="V166" i="5"/>
  <c r="V165" i="5"/>
  <c r="V162" i="5"/>
  <c r="V161" i="5"/>
  <c r="V159" i="5"/>
  <c r="V158" i="5"/>
  <c r="V157" i="5"/>
  <c r="R157" i="5" s="1"/>
  <c r="V155" i="5"/>
  <c r="V154" i="5"/>
  <c r="V153" i="5"/>
  <c r="R153" i="5" s="1"/>
  <c r="V150" i="5"/>
  <c r="X150" i="5" s="1"/>
  <c r="V149" i="5"/>
  <c r="V147" i="5"/>
  <c r="V146" i="5"/>
  <c r="V145" i="5"/>
  <c r="V143" i="5"/>
  <c r="V142" i="5"/>
  <c r="V141" i="5"/>
  <c r="R141" i="5" s="1"/>
  <c r="V139" i="5"/>
  <c r="V138" i="5"/>
  <c r="V137" i="5"/>
  <c r="R137" i="5" s="1"/>
  <c r="V135" i="5"/>
  <c r="V134" i="5"/>
  <c r="V133" i="5"/>
  <c r="V131" i="5"/>
  <c r="V130" i="5"/>
  <c r="V129" i="5"/>
  <c r="V127" i="5"/>
  <c r="V126" i="5"/>
  <c r="V125" i="5"/>
  <c r="V123" i="5"/>
  <c r="X123" i="5" s="1"/>
  <c r="V122" i="5"/>
  <c r="V121" i="5"/>
  <c r="R121" i="5" s="1"/>
  <c r="V119" i="5"/>
  <c r="V118" i="5"/>
  <c r="V117" i="5"/>
  <c r="V114" i="5"/>
  <c r="V113" i="5"/>
  <c r="V111" i="5"/>
  <c r="V110" i="5"/>
  <c r="V109" i="5"/>
  <c r="V107" i="5"/>
  <c r="V106" i="5"/>
  <c r="X106" i="5" s="1"/>
  <c r="V105" i="5"/>
  <c r="V101" i="5"/>
  <c r="V99" i="5"/>
  <c r="V98" i="5"/>
  <c r="R98" i="5" s="1"/>
  <c r="V97" i="5"/>
  <c r="V96" i="5"/>
  <c r="R96" i="5" s="1"/>
  <c r="V95" i="5"/>
  <c r="V94" i="5"/>
  <c r="X94" i="5" s="1"/>
  <c r="V93" i="5"/>
  <c r="V92" i="5"/>
  <c r="R92" i="5" s="1"/>
  <c r="V90" i="5"/>
  <c r="V89" i="5"/>
  <c r="V88" i="5"/>
  <c r="R88" i="5" s="1"/>
  <c r="V86" i="5"/>
  <c r="V85" i="5"/>
  <c r="R85" i="5" s="1"/>
  <c r="V84" i="5"/>
  <c r="R84" i="5" s="1"/>
  <c r="V83" i="5"/>
  <c r="V82" i="5"/>
  <c r="R82" i="5" s="1"/>
  <c r="V81" i="5"/>
  <c r="R81" i="5" s="1"/>
  <c r="V80" i="5"/>
  <c r="R80" i="5" s="1"/>
  <c r="V79" i="5"/>
  <c r="V78" i="5"/>
  <c r="R78" i="5" s="1"/>
  <c r="V77" i="5"/>
  <c r="V76" i="5"/>
  <c r="R76" i="5" s="1"/>
  <c r="V75" i="5"/>
  <c r="V74" i="5"/>
  <c r="X74" i="5" s="1"/>
  <c r="V73" i="5"/>
  <c r="V72" i="5"/>
  <c r="R72" i="5" s="1"/>
  <c r="V70" i="5"/>
  <c r="V69" i="5"/>
  <c r="R69" i="5" s="1"/>
  <c r="V68" i="5"/>
  <c r="R68" i="5" s="1"/>
  <c r="V67" i="5"/>
  <c r="V66" i="5"/>
  <c r="R66" i="5" s="1"/>
  <c r="V65" i="5"/>
  <c r="R65" i="5" s="1"/>
  <c r="V64" i="5"/>
  <c r="R64" i="5" s="1"/>
  <c r="V63" i="5"/>
  <c r="V62" i="5"/>
  <c r="R62" i="5" s="1"/>
  <c r="V61" i="5"/>
  <c r="V60" i="5"/>
  <c r="R60" i="5" s="1"/>
  <c r="V59" i="5"/>
  <c r="V58" i="5"/>
  <c r="X58" i="5" s="1"/>
  <c r="V57" i="5"/>
  <c r="V56" i="5"/>
  <c r="R56" i="5" s="1"/>
  <c r="V55" i="5"/>
  <c r="V54" i="5"/>
  <c r="V53" i="5"/>
  <c r="R53" i="5" s="1"/>
  <c r="V52" i="5"/>
  <c r="R52" i="5" s="1"/>
  <c r="V51" i="5"/>
  <c r="V50" i="5"/>
  <c r="R50" i="5" s="1"/>
  <c r="V49" i="5"/>
  <c r="R49" i="5" s="1"/>
  <c r="V48" i="5"/>
  <c r="R48" i="5" s="1"/>
  <c r="V47" i="5"/>
  <c r="V46" i="5"/>
  <c r="R46" i="5" s="1"/>
  <c r="V45" i="5"/>
  <c r="R45" i="5" s="1"/>
  <c r="V44" i="5"/>
  <c r="R44" i="5" s="1"/>
  <c r="V42" i="5"/>
  <c r="X42" i="5" s="1"/>
  <c r="V41" i="5"/>
  <c r="V40" i="5"/>
  <c r="R40" i="5" s="1"/>
  <c r="V39" i="5"/>
  <c r="V38" i="5"/>
  <c r="V37" i="5"/>
  <c r="R37" i="5" s="1"/>
  <c r="V36" i="5"/>
  <c r="R36" i="5" s="1"/>
  <c r="V35" i="5"/>
  <c r="V34" i="5"/>
  <c r="R34" i="5" s="1"/>
  <c r="V33" i="5"/>
  <c r="R33" i="5" s="1"/>
  <c r="V32" i="5"/>
  <c r="R32" i="5" s="1"/>
  <c r="V31" i="5"/>
  <c r="V30" i="5"/>
  <c r="V29" i="5"/>
  <c r="V28" i="5"/>
  <c r="V27" i="5"/>
  <c r="V26" i="5"/>
  <c r="V25" i="5"/>
  <c r="V24" i="5"/>
  <c r="R24" i="5" s="1"/>
  <c r="V23" i="5"/>
  <c r="V22" i="5"/>
  <c r="V21" i="5"/>
  <c r="V20" i="5"/>
  <c r="R20" i="5" s="1"/>
  <c r="V19" i="5"/>
  <c r="AB18" i="5"/>
  <c r="V18" i="5"/>
  <c r="V6" i="5"/>
  <c r="R6" i="5" s="1"/>
  <c r="AB6" i="5"/>
  <c r="V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13" i="5"/>
  <c r="S58" i="5"/>
  <c r="S74" i="5"/>
  <c r="S42" i="5"/>
  <c r="S2015" i="5" l="1"/>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E1479" i="5"/>
  <c r="X1479" i="5" s="1"/>
  <c r="T2317" i="5"/>
  <c r="AB2413" i="5"/>
  <c r="S778" i="5"/>
  <c r="S1398" i="5"/>
  <c r="AB1566" i="5"/>
  <c r="AB1594" i="5"/>
  <c r="T1684" i="5"/>
  <c r="T2163" i="5"/>
  <c r="G550"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AB348"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G1230" i="5"/>
  <c r="AB1277" i="5"/>
  <c r="T1352" i="5"/>
  <c r="T1414" i="5"/>
  <c r="S1455" i="5"/>
  <c r="S1762" i="5"/>
  <c r="T1791" i="5"/>
  <c r="AB1806" i="5"/>
  <c r="S1821" i="5"/>
  <c r="S2047" i="5"/>
  <c r="T2131" i="5"/>
  <c r="H322" i="5"/>
  <c r="S633" i="5"/>
  <c r="G809"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E1753" i="5"/>
  <c r="X1753" i="5" s="1"/>
  <c r="H1753" i="5"/>
  <c r="X75" i="5"/>
  <c r="I764" i="5"/>
  <c r="I2158" i="5"/>
  <c r="R70" i="5"/>
  <c r="AB364" i="5"/>
  <c r="R488" i="5"/>
  <c r="G761" i="5"/>
  <c r="H1178" i="5"/>
  <c r="J1218" i="5"/>
  <c r="J1250" i="5"/>
  <c r="AB1312" i="5"/>
  <c r="F2013" i="5"/>
  <c r="V2061" i="5"/>
  <c r="E2061" i="5" s="1"/>
  <c r="X2061" i="5" s="1"/>
  <c r="AB2065" i="5"/>
  <c r="AB2152" i="5"/>
  <c r="H2474" i="5"/>
  <c r="X171" i="5"/>
  <c r="AB196"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H1250" i="5"/>
  <c r="H1443" i="5"/>
  <c r="V2342" i="5"/>
  <c r="E2342" i="5" s="1"/>
  <c r="X2342" i="5" s="1"/>
  <c r="V281" i="5"/>
  <c r="R281" i="5" s="1"/>
  <c r="AB372" i="5"/>
  <c r="AB376" i="5"/>
  <c r="AB380" i="5"/>
  <c r="AB1058" i="5"/>
  <c r="G1551" i="5"/>
  <c r="H1882" i="5"/>
  <c r="AB2030" i="5"/>
  <c r="AB2395" i="5"/>
  <c r="I221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594" i="5"/>
  <c r="G594" i="5"/>
  <c r="T1305" i="5"/>
  <c r="S1305" i="5"/>
  <c r="AB1743" i="5"/>
  <c r="S1743" i="5"/>
  <c r="T1802" i="5"/>
  <c r="AB1802" i="5"/>
  <c r="F1909" i="5"/>
  <c r="R1909" i="5"/>
  <c r="H1909" i="5"/>
  <c r="R2458" i="5"/>
  <c r="I2458" i="5"/>
  <c r="AB30" i="5"/>
  <c r="AB126" i="5"/>
  <c r="AB438" i="5"/>
  <c r="AB459"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R75" i="5"/>
  <c r="AB102" i="5"/>
  <c r="AB242" i="5"/>
  <c r="AB283" i="5"/>
  <c r="AB308" i="5"/>
  <c r="AB426" i="5"/>
  <c r="AB430" i="5"/>
  <c r="AB457" i="5"/>
  <c r="AB485" i="5"/>
  <c r="AB525"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X170" i="5"/>
  <c r="AB218" i="5"/>
  <c r="AB235" i="5"/>
  <c r="AB368" i="5"/>
  <c r="AB400" i="5"/>
  <c r="E413" i="5"/>
  <c r="X413" i="5" s="1"/>
  <c r="AB442" i="5"/>
  <c r="E491" i="5"/>
  <c r="X491" i="5" s="1"/>
  <c r="AB509" i="5"/>
  <c r="J528" i="5"/>
  <c r="AB536" i="5"/>
  <c r="AB556" i="5"/>
  <c r="AB591"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AB106"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E1681" i="5" s="1"/>
  <c r="X1681" i="5" s="1"/>
  <c r="AB1681" i="5"/>
  <c r="T1715" i="5"/>
  <c r="S1715" i="5"/>
  <c r="R1898" i="5"/>
  <c r="J1898" i="5"/>
  <c r="G1987" i="5"/>
  <c r="F1987" i="5"/>
  <c r="I2005" i="5"/>
  <c r="R2005" i="5"/>
  <c r="S2129" i="5"/>
  <c r="T2129" i="5"/>
  <c r="R2150" i="5"/>
  <c r="H2150" i="5"/>
  <c r="G676" i="5"/>
  <c r="X59" i="5"/>
  <c r="X235" i="5"/>
  <c r="V265" i="5"/>
  <c r="R265" i="5" s="1"/>
  <c r="X291" i="5"/>
  <c r="G480" i="5"/>
  <c r="V556" i="5"/>
  <c r="F556" i="5" s="1"/>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X25" i="5"/>
  <c r="R97" i="5"/>
  <c r="X97" i="5"/>
  <c r="X79" i="5"/>
  <c r="X47" i="5"/>
  <c r="R127" i="5"/>
  <c r="X127" i="5"/>
  <c r="V330" i="5"/>
  <c r="G330" i="5" s="1"/>
  <c r="T895" i="5"/>
  <c r="AB895" i="5"/>
  <c r="S895" i="5"/>
  <c r="AB1863" i="5"/>
  <c r="T1863" i="5"/>
  <c r="S1863" i="5"/>
  <c r="R54" i="5"/>
  <c r="R74" i="5"/>
  <c r="V91" i="5"/>
  <c r="V189" i="5"/>
  <c r="R189" i="5" s="1"/>
  <c r="AB210" i="5"/>
  <c r="R225" i="5"/>
  <c r="X225" i="5"/>
  <c r="V243" i="5"/>
  <c r="F357" i="5"/>
  <c r="E357" i="5"/>
  <c r="G399" i="5"/>
  <c r="V463" i="5"/>
  <c r="R463" i="5" s="1"/>
  <c r="G586" i="5"/>
  <c r="F586" i="5"/>
  <c r="I714" i="5"/>
  <c r="J714" i="5"/>
  <c r="T738" i="5"/>
  <c r="S738" i="5"/>
  <c r="R94" i="5"/>
  <c r="AB170" i="5"/>
  <c r="E452" i="5"/>
  <c r="X452" i="5" s="1"/>
  <c r="H452" i="5"/>
  <c r="F452" i="5"/>
  <c r="S1497" i="5"/>
  <c r="T1497" i="5"/>
  <c r="X26" i="5"/>
  <c r="X63" i="5"/>
  <c r="V102" i="5"/>
  <c r="V207" i="5"/>
  <c r="R237" i="5"/>
  <c r="X237" i="5"/>
  <c r="V262" i="5"/>
  <c r="AB262" i="5"/>
  <c r="AB298" i="5"/>
  <c r="E451" i="5"/>
  <c r="F451" i="5"/>
  <c r="R453" i="5"/>
  <c r="J453" i="5"/>
  <c r="H453" i="5"/>
  <c r="F453" i="5"/>
  <c r="X107" i="5"/>
  <c r="R125" i="5"/>
  <c r="T1447" i="5"/>
  <c r="AB1447" i="5"/>
  <c r="S1447" i="5"/>
  <c r="V43" i="5"/>
  <c r="R22" i="5"/>
  <c r="V87" i="5"/>
  <c r="R90" i="5"/>
  <c r="AB114" i="5"/>
  <c r="R123" i="5"/>
  <c r="R167" i="5"/>
  <c r="X187" i="5"/>
  <c r="R187" i="5"/>
  <c r="V306" i="5"/>
  <c r="I361" i="5"/>
  <c r="J361" i="5"/>
  <c r="H361" i="5"/>
  <c r="F361" i="5"/>
  <c r="V391" i="5"/>
  <c r="G391" i="5" s="1"/>
  <c r="G451" i="5"/>
  <c r="I479" i="5"/>
  <c r="H479" i="5"/>
  <c r="E479" i="5"/>
  <c r="X479" i="5" s="1"/>
  <c r="V574" i="5"/>
  <c r="F574" i="5" s="1"/>
  <c r="T641" i="5"/>
  <c r="S641" i="5"/>
  <c r="R59" i="5"/>
  <c r="R111" i="5"/>
  <c r="R171" i="5"/>
  <c r="V194" i="5"/>
  <c r="V314" i="5"/>
  <c r="G314" i="5" s="1"/>
  <c r="E468" i="5"/>
  <c r="X468" i="5" s="1"/>
  <c r="F468" i="5"/>
  <c r="V562" i="5"/>
  <c r="R562" i="5" s="1"/>
  <c r="I1848" i="5"/>
  <c r="H1848" i="5"/>
  <c r="V115" i="5"/>
  <c r="AB166" i="5"/>
  <c r="V201" i="5"/>
  <c r="R201" i="5" s="1"/>
  <c r="R245" i="5"/>
  <c r="I461" i="5"/>
  <c r="F461" i="5"/>
  <c r="J552" i="5"/>
  <c r="H552" i="5"/>
  <c r="AB178" i="5"/>
  <c r="V215" i="5"/>
  <c r="R299" i="5"/>
  <c r="E392" i="5"/>
  <c r="X392" i="5" s="1"/>
  <c r="I392" i="5"/>
  <c r="H392" i="5"/>
  <c r="AB110" i="5"/>
  <c r="R30" i="5"/>
  <c r="V71" i="5"/>
  <c r="V103" i="5"/>
  <c r="R107" i="5"/>
  <c r="AB150" i="5"/>
  <c r="AB186" i="5"/>
  <c r="V239" i="5"/>
  <c r="F372" i="5"/>
  <c r="I372" i="5"/>
  <c r="H372" i="5"/>
  <c r="F392" i="5"/>
  <c r="R401" i="5"/>
  <c r="J401" i="5"/>
  <c r="F455" i="5"/>
  <c r="G455" i="5"/>
  <c r="I507" i="5"/>
  <c r="F507" i="5"/>
  <c r="AB230" i="5"/>
  <c r="AB251" i="5"/>
  <c r="AB267" i="5"/>
  <c r="I376" i="5"/>
  <c r="AB453" i="5"/>
  <c r="AB454" i="5"/>
  <c r="AB472" i="5"/>
  <c r="E527" i="5"/>
  <c r="X527" i="5" s="1"/>
  <c r="I527" i="5"/>
  <c r="I543" i="5"/>
  <c r="E543" i="5"/>
  <c r="X543" i="5" s="1"/>
  <c r="AB560" i="5"/>
  <c r="R584" i="5"/>
  <c r="F584" i="5"/>
  <c r="AB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R851" i="5" s="1"/>
  <c r="AB851" i="5"/>
  <c r="T916" i="5"/>
  <c r="S916" i="5"/>
  <c r="T979" i="5"/>
  <c r="S979" i="5"/>
  <c r="V982" i="5"/>
  <c r="E982" i="5" s="1"/>
  <c r="X982" i="5" s="1"/>
  <c r="AB982" i="5"/>
  <c r="F986" i="5"/>
  <c r="H986" i="5"/>
  <c r="T1026" i="5"/>
  <c r="AB1026" i="5"/>
  <c r="S1026" i="5"/>
  <c r="V1086" i="5"/>
  <c r="F1086" i="5" s="1"/>
  <c r="AB1086" i="5"/>
  <c r="AB132" i="5"/>
  <c r="AB190" i="5"/>
  <c r="V191" i="5"/>
  <c r="AB263" i="5"/>
  <c r="AB275" i="5"/>
  <c r="AB357" i="5"/>
  <c r="AB365" i="5"/>
  <c r="AB434" i="5"/>
  <c r="F498" i="5"/>
  <c r="AB551" i="5"/>
  <c r="F560" i="5"/>
  <c r="V608" i="5"/>
  <c r="G608" i="5" s="1"/>
  <c r="G616" i="5"/>
  <c r="AB696" i="5"/>
  <c r="V696" i="5"/>
  <c r="R696" i="5" s="1"/>
  <c r="T713" i="5"/>
  <c r="S713" i="5"/>
  <c r="T745" i="5"/>
  <c r="S745" i="5"/>
  <c r="V808" i="5"/>
  <c r="G808" i="5" s="1"/>
  <c r="AB808" i="5"/>
  <c r="V872" i="5"/>
  <c r="H872" i="5" s="1"/>
  <c r="AB872" i="5"/>
  <c r="AB882" i="5"/>
  <c r="T882" i="5"/>
  <c r="S882" i="5"/>
  <c r="T950" i="5"/>
  <c r="S950" i="5"/>
  <c r="F975" i="5"/>
  <c r="H975" i="5"/>
  <c r="H1103" i="5"/>
  <c r="G1103" i="5"/>
  <c r="F1103" i="5"/>
  <c r="V175" i="5"/>
  <c r="X175" i="5" s="1"/>
  <c r="E616" i="5"/>
  <c r="X616" i="5" s="1"/>
  <c r="R616" i="5"/>
  <c r="S639" i="5"/>
  <c r="T649" i="5"/>
  <c r="S649" i="5"/>
  <c r="R685" i="5"/>
  <c r="H685" i="5"/>
  <c r="T733" i="5"/>
  <c r="S733" i="5"/>
  <c r="F768" i="5"/>
  <c r="E768" i="5"/>
  <c r="X768" i="5" s="1"/>
  <c r="F786" i="5"/>
  <c r="E786" i="5"/>
  <c r="X786" i="5" s="1"/>
  <c r="AB836" i="5"/>
  <c r="V836" i="5"/>
  <c r="E836" i="5" s="1"/>
  <c r="X836" i="5" s="1"/>
  <c r="T911" i="5"/>
  <c r="S911" i="5"/>
  <c r="T927" i="5"/>
  <c r="S927" i="5"/>
  <c r="S938" i="5"/>
  <c r="T938" i="5"/>
  <c r="T976" i="5"/>
  <c r="S976" i="5"/>
  <c r="V987" i="5"/>
  <c r="G987" i="5" s="1"/>
  <c r="AB1014" i="5"/>
  <c r="T1014" i="5"/>
  <c r="S1014" i="5"/>
  <c r="H1075" i="5"/>
  <c r="F1075" i="5"/>
  <c r="G1075" i="5"/>
  <c r="G1083" i="5"/>
  <c r="F1083" i="5"/>
  <c r="H1083" i="5"/>
  <c r="AB207" i="5"/>
  <c r="AB215" i="5"/>
  <c r="AB282" i="5"/>
  <c r="AB356" i="5"/>
  <c r="AB451"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AB567" i="5"/>
  <c r="E656" i="5"/>
  <c r="X656" i="5" s="1"/>
  <c r="R656" i="5"/>
  <c r="T690" i="5"/>
  <c r="S690" i="5"/>
  <c r="R796" i="5"/>
  <c r="I796" i="5"/>
  <c r="F796" i="5"/>
  <c r="E796" i="5"/>
  <c r="X796" i="5" s="1"/>
  <c r="AB122" i="5"/>
  <c r="AB174" i="5"/>
  <c r="AB219" i="5"/>
  <c r="AB239" i="5"/>
  <c r="AB278" i="5"/>
  <c r="AB316" i="5"/>
  <c r="G338" i="5"/>
  <c r="H393" i="5"/>
  <c r="AB396" i="5"/>
  <c r="AB404" i="5"/>
  <c r="AB414" i="5"/>
  <c r="AB422" i="5"/>
  <c r="AB458" i="5"/>
  <c r="AB468" i="5"/>
  <c r="J480" i="5"/>
  <c r="F482" i="5"/>
  <c r="F503" i="5"/>
  <c r="V580" i="5"/>
  <c r="G580" i="5" s="1"/>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G1325" i="5" s="1"/>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E720" i="5" s="1"/>
  <c r="X720" i="5" s="1"/>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F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E1680" i="5" s="1"/>
  <c r="X1680" i="5" s="1"/>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R1735" i="5" s="1"/>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F2257" i="5" s="1"/>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J2453" i="5"/>
  <c r="AB1570" i="5"/>
  <c r="AB1606" i="5"/>
  <c r="G1656"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R61" i="5"/>
  <c r="X61" i="5"/>
  <c r="R73" i="5"/>
  <c r="X73" i="5"/>
  <c r="R109" i="5"/>
  <c r="R133" i="5"/>
  <c r="R169" i="5"/>
  <c r="X169" i="5"/>
  <c r="X195" i="5"/>
  <c r="R195" i="5"/>
  <c r="R67" i="5"/>
  <c r="X67" i="5"/>
  <c r="R19" i="5"/>
  <c r="X19" i="5"/>
  <c r="X35" i="5"/>
  <c r="R35" i="5"/>
  <c r="R139" i="5"/>
  <c r="X139" i="5"/>
  <c r="X193" i="5"/>
  <c r="X227" i="5"/>
  <c r="R227" i="5"/>
  <c r="R41" i="5"/>
  <c r="X41" i="5"/>
  <c r="R143" i="5"/>
  <c r="X143" i="5"/>
  <c r="X177" i="5"/>
  <c r="R177" i="5"/>
  <c r="X183" i="5"/>
  <c r="R183" i="5"/>
  <c r="R241" i="5"/>
  <c r="X247" i="5"/>
  <c r="R247" i="5"/>
  <c r="X259" i="5"/>
  <c r="R259" i="5"/>
  <c r="R173" i="5"/>
  <c r="R93" i="5"/>
  <c r="X93" i="5"/>
  <c r="R99" i="5"/>
  <c r="X99" i="5"/>
  <c r="R135" i="5"/>
  <c r="X135" i="5"/>
  <c r="X159" i="5"/>
  <c r="R159" i="5"/>
  <c r="I373" i="5"/>
  <c r="R373" i="5"/>
  <c r="J373" i="5"/>
  <c r="H373" i="5"/>
  <c r="F373" i="5"/>
  <c r="E373" i="5"/>
  <c r="X27" i="5"/>
  <c r="R27" i="5"/>
  <c r="R83" i="5"/>
  <c r="X83" i="5"/>
  <c r="R51" i="5"/>
  <c r="X51" i="5"/>
  <c r="R77" i="5"/>
  <c r="X77" i="5"/>
  <c r="R89" i="5"/>
  <c r="X89" i="5"/>
  <c r="X129" i="5"/>
  <c r="R199" i="5"/>
  <c r="X199" i="5"/>
  <c r="X131" i="5"/>
  <c r="R131" i="5"/>
  <c r="R57" i="5"/>
  <c r="X57" i="5"/>
  <c r="R105" i="5"/>
  <c r="X105" i="5"/>
  <c r="X119" i="5"/>
  <c r="R119" i="5"/>
  <c r="R197" i="5"/>
  <c r="R223" i="5"/>
  <c r="X223" i="5"/>
  <c r="R229" i="5"/>
  <c r="X229" i="5"/>
  <c r="R337" i="5"/>
  <c r="J337" i="5"/>
  <c r="H337" i="5"/>
  <c r="F337" i="5"/>
  <c r="E337" i="5"/>
  <c r="X337" i="5" s="1"/>
  <c r="X31" i="5"/>
  <c r="X113" i="5"/>
  <c r="R113" i="5"/>
  <c r="R155" i="5"/>
  <c r="X155" i="5"/>
  <c r="R203" i="5"/>
  <c r="X203" i="5"/>
  <c r="R249" i="5"/>
  <c r="R39" i="5"/>
  <c r="R55" i="5"/>
  <c r="AB140" i="5"/>
  <c r="V151" i="5"/>
  <c r="AB156" i="5"/>
  <c r="AB160" i="5"/>
  <c r="V163" i="5"/>
  <c r="R179" i="5"/>
  <c r="AB204" i="5"/>
  <c r="AB211" i="5"/>
  <c r="V211" i="5"/>
  <c r="R231" i="5"/>
  <c r="R267" i="5"/>
  <c r="R289" i="5"/>
  <c r="X289" i="5"/>
  <c r="X295" i="5"/>
  <c r="R295" i="5"/>
  <c r="G321" i="5"/>
  <c r="J321" i="5"/>
  <c r="H321" i="5"/>
  <c r="F321" i="5"/>
  <c r="E321" i="5"/>
  <c r="V334" i="5"/>
  <c r="G334" i="5" s="1"/>
  <c r="I347" i="5"/>
  <c r="F347" i="5"/>
  <c r="R360" i="5"/>
  <c r="F360" i="5"/>
  <c r="E404" i="5"/>
  <c r="X404" i="5" s="1"/>
  <c r="R404" i="5"/>
  <c r="I404" i="5"/>
  <c r="I437" i="5"/>
  <c r="R437" i="5"/>
  <c r="J437" i="5"/>
  <c r="H437" i="5"/>
  <c r="E444" i="5"/>
  <c r="X444" i="5" s="1"/>
  <c r="R444" i="5"/>
  <c r="I444" i="5"/>
  <c r="H444" i="5"/>
  <c r="E448" i="5"/>
  <c r="X448" i="5" s="1"/>
  <c r="I448" i="5"/>
  <c r="H448" i="5"/>
  <c r="F448" i="5"/>
  <c r="AB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AB222" i="5"/>
  <c r="AB254" i="5"/>
  <c r="AB258" i="5"/>
  <c r="AB270" i="5"/>
  <c r="V277" i="5"/>
  <c r="V290" i="5"/>
  <c r="E317" i="5"/>
  <c r="G329" i="5"/>
  <c r="J329" i="5"/>
  <c r="H329" i="5"/>
  <c r="F329" i="5"/>
  <c r="E329" i="5"/>
  <c r="AB363" i="5"/>
  <c r="I369" i="5"/>
  <c r="J369" i="5"/>
  <c r="H369" i="5"/>
  <c r="F369" i="5"/>
  <c r="E369" i="5"/>
  <c r="I389" i="5"/>
  <c r="R389" i="5"/>
  <c r="J389" i="5"/>
  <c r="H389" i="5"/>
  <c r="F389" i="5"/>
  <c r="E389" i="5"/>
  <c r="X389" i="5" s="1"/>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I341" i="5"/>
  <c r="R341" i="5"/>
  <c r="J341" i="5"/>
  <c r="H341" i="5"/>
  <c r="F341" i="5"/>
  <c r="I397" i="5"/>
  <c r="R397" i="5"/>
  <c r="J397" i="5"/>
  <c r="H397" i="5"/>
  <c r="F397" i="5"/>
  <c r="E397" i="5"/>
  <c r="X397" i="5" s="1"/>
  <c r="V411" i="5"/>
  <c r="G411" i="5" s="1"/>
  <c r="R42" i="5"/>
  <c r="X45" i="5"/>
  <c r="X55" i="5"/>
  <c r="AB118" i="5"/>
  <c r="AB130" i="5"/>
  <c r="X179" i="5"/>
  <c r="AB182" i="5"/>
  <c r="AB194" i="5"/>
  <c r="R235" i="5"/>
  <c r="X263" i="5"/>
  <c r="V293" i="5"/>
  <c r="X299" i="5"/>
  <c r="AB315" i="5"/>
  <c r="G325" i="5"/>
  <c r="R325" i="5"/>
  <c r="J325" i="5"/>
  <c r="H325" i="5"/>
  <c r="AB330" i="5"/>
  <c r="I348" i="5"/>
  <c r="R348" i="5"/>
  <c r="H348" i="5"/>
  <c r="F348" i="5"/>
  <c r="I353" i="5"/>
  <c r="R353" i="5"/>
  <c r="J353" i="5"/>
  <c r="H353" i="5"/>
  <c r="F353" i="5"/>
  <c r="R356" i="5"/>
  <c r="I356" i="5"/>
  <c r="I380" i="5"/>
  <c r="R380" i="5"/>
  <c r="F380" i="5"/>
  <c r="AB395" i="5"/>
  <c r="E400" i="5"/>
  <c r="X400" i="5" s="1"/>
  <c r="H400" i="5"/>
  <c r="F400" i="5"/>
  <c r="I409" i="5"/>
  <c r="J409" i="5"/>
  <c r="H409" i="5"/>
  <c r="F409" i="5"/>
  <c r="E409" i="5"/>
  <c r="X409" i="5" s="1"/>
  <c r="E421" i="5"/>
  <c r="X421" i="5" s="1"/>
  <c r="F428" i="5"/>
  <c r="I445" i="5"/>
  <c r="R445" i="5"/>
  <c r="J445" i="5"/>
  <c r="H445" i="5"/>
  <c r="R516" i="5"/>
  <c r="H516" i="5"/>
  <c r="R532" i="5"/>
  <c r="H532" i="5"/>
  <c r="E660" i="5"/>
  <c r="X660" i="5" s="1"/>
  <c r="R660" i="5"/>
  <c r="F660" i="5"/>
  <c r="AB867" i="5"/>
  <c r="V867" i="5"/>
  <c r="J867" i="5" s="1"/>
  <c r="T1003" i="5"/>
  <c r="S1003" i="5"/>
  <c r="AB1003" i="5"/>
  <c r="X219" i="5"/>
  <c r="AB290" i="5"/>
  <c r="I349" i="5"/>
  <c r="J349" i="5"/>
  <c r="H349" i="5"/>
  <c r="F349" i="5"/>
  <c r="E349" i="5"/>
  <c r="X349" i="5" s="1"/>
  <c r="I381" i="5"/>
  <c r="J381" i="5"/>
  <c r="H381" i="5"/>
  <c r="F381" i="5"/>
  <c r="E381" i="5"/>
  <c r="X381" i="5" s="1"/>
  <c r="E408" i="5"/>
  <c r="X408" i="5" s="1"/>
  <c r="I408" i="5"/>
  <c r="H408" i="5"/>
  <c r="F408" i="5"/>
  <c r="I425" i="5"/>
  <c r="J425" i="5"/>
  <c r="H425" i="5"/>
  <c r="F425" i="5"/>
  <c r="E425" i="5"/>
  <c r="X425" i="5" s="1"/>
  <c r="R58" i="5"/>
  <c r="X23" i="5"/>
  <c r="AB26" i="5"/>
  <c r="X39" i="5"/>
  <c r="AB22" i="5"/>
  <c r="R25" i="5"/>
  <c r="R47" i="5"/>
  <c r="R63" i="5"/>
  <c r="R79" i="5"/>
  <c r="R95" i="5"/>
  <c r="AB108" i="5"/>
  <c r="X111" i="5"/>
  <c r="AB124" i="5"/>
  <c r="AB128" i="5"/>
  <c r="X137" i="5"/>
  <c r="AB146" i="5"/>
  <c r="R147" i="5"/>
  <c r="X166" i="5"/>
  <c r="X167" i="5"/>
  <c r="AB172" i="5"/>
  <c r="AB188" i="5"/>
  <c r="AB192" i="5"/>
  <c r="AB206" i="5"/>
  <c r="AB214" i="5"/>
  <c r="AB226" i="5"/>
  <c r="X231" i="5"/>
  <c r="V261" i="5"/>
  <c r="R273" i="5"/>
  <c r="X273" i="5"/>
  <c r="R285" i="5"/>
  <c r="R291" i="5"/>
  <c r="AB294" i="5"/>
  <c r="V305" i="5"/>
  <c r="E325" i="5"/>
  <c r="AB337" i="5"/>
  <c r="E353" i="5"/>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AB471" i="5"/>
  <c r="AB477" i="5"/>
  <c r="AB529" i="5"/>
  <c r="R606" i="5"/>
  <c r="F606" i="5"/>
  <c r="J642" i="5"/>
  <c r="R642" i="5"/>
  <c r="G642" i="5"/>
  <c r="F642" i="5"/>
  <c r="H844" i="5"/>
  <c r="J844" i="5"/>
  <c r="AB266" i="5"/>
  <c r="V287" i="5"/>
  <c r="AB134" i="5"/>
  <c r="AB142" i="5"/>
  <c r="X145" i="5"/>
  <c r="X161" i="5"/>
  <c r="AB198" i="5"/>
  <c r="X255" i="5"/>
  <c r="X267" i="5"/>
  <c r="X283" i="5"/>
  <c r="AB306" i="5"/>
  <c r="AB323" i="5"/>
  <c r="I345" i="5"/>
  <c r="R345" i="5"/>
  <c r="J345" i="5"/>
  <c r="H345" i="5"/>
  <c r="G347" i="5"/>
  <c r="AB349"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R456" i="5"/>
  <c r="I456" i="5"/>
  <c r="H456" i="5"/>
  <c r="R760" i="5"/>
  <c r="I760" i="5"/>
  <c r="F760" i="5"/>
  <c r="E760" i="5"/>
  <c r="X760" i="5" s="1"/>
  <c r="G317" i="5"/>
  <c r="R317" i="5"/>
  <c r="J317" i="5"/>
  <c r="H317" i="5"/>
  <c r="X33" i="5"/>
  <c r="X49" i="5"/>
  <c r="X65" i="5"/>
  <c r="X81" i="5"/>
  <c r="X110" i="5"/>
  <c r="AB138" i="5"/>
  <c r="AB154" i="5"/>
  <c r="AB158" i="5"/>
  <c r="AB202" i="5"/>
  <c r="AB223" i="5"/>
  <c r="AB238" i="5"/>
  <c r="X245" i="5"/>
  <c r="AB246" i="5"/>
  <c r="R257" i="5"/>
  <c r="AB259" i="5"/>
  <c r="AB274" i="5"/>
  <c r="X275" i="5"/>
  <c r="R275" i="5"/>
  <c r="G313" i="5"/>
  <c r="J313" i="5"/>
  <c r="H313" i="5"/>
  <c r="F313" i="5"/>
  <c r="E313" i="5"/>
  <c r="R333" i="5"/>
  <c r="J333" i="5"/>
  <c r="H333" i="5"/>
  <c r="E333" i="5"/>
  <c r="E345" i="5"/>
  <c r="I357" i="5"/>
  <c r="R357" i="5"/>
  <c r="J357" i="5"/>
  <c r="H357" i="5"/>
  <c r="R364" i="5"/>
  <c r="R368" i="5"/>
  <c r="F368" i="5"/>
  <c r="E396" i="5"/>
  <c r="X396" i="5" s="1"/>
  <c r="R396" i="5"/>
  <c r="I396" i="5"/>
  <c r="H396" i="5"/>
  <c r="F396" i="5"/>
  <c r="I417" i="5"/>
  <c r="J417" i="5"/>
  <c r="H417" i="5"/>
  <c r="F417" i="5"/>
  <c r="E417" i="5"/>
  <c r="X417" i="5" s="1"/>
  <c r="E429" i="5"/>
  <c r="X429" i="5" s="1"/>
  <c r="F436" i="5"/>
  <c r="F456"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AB32" i="5"/>
  <c r="X53" i="5"/>
  <c r="X69" i="5"/>
  <c r="X85" i="5"/>
  <c r="X95" i="5"/>
  <c r="R101" i="5"/>
  <c r="R145" i="5"/>
  <c r="X147" i="5"/>
  <c r="AB162" i="5"/>
  <c r="R165" i="5"/>
  <c r="AB227" i="5"/>
  <c r="AB247" i="5"/>
  <c r="V251" i="5"/>
  <c r="R269" i="5"/>
  <c r="V297" i="5"/>
  <c r="R309" i="5"/>
  <c r="AB314" i="5"/>
  <c r="R321" i="5"/>
  <c r="AB331"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J508" i="5"/>
  <c r="G508" i="5"/>
  <c r="J540" i="5"/>
  <c r="G540" i="5"/>
  <c r="R544" i="5"/>
  <c r="J544" i="5"/>
  <c r="H544" i="5"/>
  <c r="E564" i="5"/>
  <c r="X564" i="5" s="1"/>
  <c r="F564" i="5"/>
  <c r="R564" i="5"/>
  <c r="AB611" i="5"/>
  <c r="AB623" i="5"/>
  <c r="S623" i="5"/>
  <c r="T655" i="5"/>
  <c r="S655" i="5"/>
  <c r="I666" i="5"/>
  <c r="R666" i="5"/>
  <c r="J666" i="5"/>
  <c r="F666" i="5"/>
  <c r="E666" i="5"/>
  <c r="X666" i="5" s="1"/>
  <c r="G699" i="5"/>
  <c r="S704" i="5"/>
  <c r="AB704" i="5"/>
  <c r="T704" i="5"/>
  <c r="V717" i="5"/>
  <c r="G717" i="5" s="1"/>
  <c r="I734" i="5"/>
  <c r="J734" i="5"/>
  <c r="F734" i="5"/>
  <c r="E734" i="5"/>
  <c r="X734" i="5" s="1"/>
  <c r="AB752" i="5"/>
  <c r="V752" i="5"/>
  <c r="R752" i="5" s="1"/>
  <c r="AB849" i="5"/>
  <c r="T849" i="5"/>
  <c r="S849" i="5"/>
  <c r="H1006" i="5"/>
  <c r="F1006" i="5"/>
  <c r="E1006" i="5"/>
  <c r="X1006" i="5" s="1"/>
  <c r="R1408" i="5"/>
  <c r="J1408" i="5"/>
  <c r="I1414" i="5"/>
  <c r="R1414" i="5"/>
  <c r="H1414" i="5"/>
  <c r="F1414" i="5"/>
  <c r="R1553" i="5"/>
  <c r="F1553" i="5"/>
  <c r="AB243" i="5"/>
  <c r="AB279" i="5"/>
  <c r="V279" i="5"/>
  <c r="AB311" i="5"/>
  <c r="AB319" i="5"/>
  <c r="AB327" i="5"/>
  <c r="AB344" i="5"/>
  <c r="AB347" i="5"/>
  <c r="R361" i="5"/>
  <c r="V365" i="5"/>
  <c r="G365" i="5" s="1"/>
  <c r="V379" i="5"/>
  <c r="R379" i="5" s="1"/>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AB505" i="5"/>
  <c r="AB513" i="5"/>
  <c r="AB521" i="5"/>
  <c r="AB537" i="5"/>
  <c r="H543" i="5"/>
  <c r="E547" i="5"/>
  <c r="X547" i="5" s="1"/>
  <c r="R556" i="5"/>
  <c r="J556" i="5"/>
  <c r="H563" i="5"/>
  <c r="F563" i="5"/>
  <c r="E563" i="5"/>
  <c r="X563" i="5" s="1"/>
  <c r="AB57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E507" i="5"/>
  <c r="X507" i="5" s="1"/>
  <c r="H539" i="5"/>
  <c r="E539" i="5"/>
  <c r="X539" i="5" s="1"/>
  <c r="H547" i="5"/>
  <c r="I551" i="5"/>
  <c r="H551" i="5"/>
  <c r="F551" i="5"/>
  <c r="E551" i="5"/>
  <c r="X551" i="5" s="1"/>
  <c r="E552" i="5"/>
  <c r="X552" i="5" s="1"/>
  <c r="G552" i="5"/>
  <c r="F552" i="5"/>
  <c r="R552"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I453" i="5"/>
  <c r="E453" i="5"/>
  <c r="X453" i="5" s="1"/>
  <c r="H512" i="5"/>
  <c r="R512" i="5"/>
  <c r="F512" i="5"/>
  <c r="V524" i="5"/>
  <c r="G524" i="5" s="1"/>
  <c r="R598" i="5"/>
  <c r="F598" i="5"/>
  <c r="R618" i="5"/>
  <c r="G618" i="5"/>
  <c r="V650" i="5"/>
  <c r="G650" i="5" s="1"/>
  <c r="R691" i="5"/>
  <c r="H691" i="5"/>
  <c r="V814" i="5"/>
  <c r="H814" i="5" s="1"/>
  <c r="E828" i="5"/>
  <c r="X828" i="5" s="1"/>
  <c r="J828" i="5"/>
  <c r="H828" i="5"/>
  <c r="F828" i="5"/>
  <c r="T884" i="5"/>
  <c r="S884" i="5"/>
  <c r="T971" i="5"/>
  <c r="AB971" i="5"/>
  <c r="S971" i="5"/>
  <c r="AB234" i="5"/>
  <c r="AB250" i="5"/>
  <c r="AB271" i="5"/>
  <c r="AB286" i="5"/>
  <c r="AB291" i="5"/>
  <c r="X302" i="5"/>
  <c r="V303" i="5"/>
  <c r="AB304" i="5"/>
  <c r="J322" i="5"/>
  <c r="AB371" i="5"/>
  <c r="R372" i="5"/>
  <c r="AB387" i="5"/>
  <c r="AB391" i="5"/>
  <c r="AB392" i="5"/>
  <c r="AB399" i="5"/>
  <c r="AB460" i="5"/>
  <c r="AB462" i="5"/>
  <c r="G476" i="5"/>
  <c r="R504" i="5"/>
  <c r="G512" i="5"/>
  <c r="J520" i="5"/>
  <c r="R520" i="5"/>
  <c r="AB533" i="5"/>
  <c r="R536" i="5"/>
  <c r="AB547" i="5"/>
  <c r="AB555" i="5"/>
  <c r="G566" i="5"/>
  <c r="G568" i="5"/>
  <c r="G572" i="5"/>
  <c r="V576" i="5"/>
  <c r="I576" i="5" s="1"/>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AB287" i="5"/>
  <c r="AB309" i="5"/>
  <c r="AB317" i="5"/>
  <c r="AB325" i="5"/>
  <c r="AB335" i="5"/>
  <c r="E361" i="5"/>
  <c r="X361" i="5" s="1"/>
  <c r="E393" i="5"/>
  <c r="X393" i="5" s="1"/>
  <c r="AB413" i="5"/>
  <c r="AB421" i="5"/>
  <c r="AB429" i="5"/>
  <c r="AB437" i="5"/>
  <c r="AB445" i="5"/>
  <c r="E455" i="5"/>
  <c r="X455" i="5" s="1"/>
  <c r="I455" i="5"/>
  <c r="AB463" i="5"/>
  <c r="H491" i="5"/>
  <c r="F491" i="5"/>
  <c r="H495" i="5"/>
  <c r="E495" i="5"/>
  <c r="X495" i="5" s="1"/>
  <c r="V496" i="5"/>
  <c r="G496" i="5" s="1"/>
  <c r="AB504" i="5"/>
  <c r="H508" i="5"/>
  <c r="J512" i="5"/>
  <c r="H540" i="5"/>
  <c r="F544" i="5"/>
  <c r="AB559" i="5"/>
  <c r="G564" i="5"/>
  <c r="R614" i="5"/>
  <c r="G614" i="5"/>
  <c r="AB619" i="5"/>
  <c r="T619" i="5"/>
  <c r="S619" i="5"/>
  <c r="E624" i="5"/>
  <c r="X624" i="5" s="1"/>
  <c r="F624" i="5"/>
  <c r="R624" i="5"/>
  <c r="J624" i="5"/>
  <c r="V634" i="5"/>
  <c r="G634" i="5" s="1"/>
  <c r="R692" i="5"/>
  <c r="J692" i="5"/>
  <c r="I692" i="5"/>
  <c r="E692" i="5"/>
  <c r="X692" i="5" s="1"/>
  <c r="J708" i="5"/>
  <c r="I708" i="5"/>
  <c r="J716" i="5"/>
  <c r="I716" i="5"/>
  <c r="F716" i="5"/>
  <c r="F720"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H662" i="5" s="1"/>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R766" i="5" s="1"/>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F616" i="5"/>
  <c r="AB625" i="5"/>
  <c r="T631" i="5"/>
  <c r="AB637" i="5"/>
  <c r="T647" i="5"/>
  <c r="AB653" i="5"/>
  <c r="AB657" i="5"/>
  <c r="G660" i="5"/>
  <c r="S663" i="5"/>
  <c r="I676" i="5"/>
  <c r="G689" i="5"/>
  <c r="S695" i="5"/>
  <c r="G697" i="5"/>
  <c r="H700" i="5"/>
  <c r="G701" i="5"/>
  <c r="AB709" i="5"/>
  <c r="V710" i="5"/>
  <c r="J710" i="5" s="1"/>
  <c r="AB717" i="5"/>
  <c r="V718" i="5"/>
  <c r="H718" i="5" s="1"/>
  <c r="G723" i="5"/>
  <c r="G727" i="5"/>
  <c r="G735" i="5"/>
  <c r="G741" i="5"/>
  <c r="V746" i="5"/>
  <c r="F746" i="5" s="1"/>
  <c r="I748" i="5"/>
  <c r="E756" i="5"/>
  <c r="X756" i="5" s="1"/>
  <c r="F758" i="5"/>
  <c r="V762" i="5"/>
  <c r="G762" i="5" s="1"/>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R750" i="5" s="1"/>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E883" i="5" s="1"/>
  <c r="X883" i="5" s="1"/>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T990" i="5"/>
  <c r="J991" i="5"/>
  <c r="AB995" i="5"/>
  <c r="H1011" i="5"/>
  <c r="S1015" i="5"/>
  <c r="AB1019" i="5"/>
  <c r="H1031" i="5"/>
  <c r="S1035" i="5"/>
  <c r="V1039" i="5"/>
  <c r="G1039" i="5" s="1"/>
  <c r="G1047" i="5"/>
  <c r="S1048" i="5"/>
  <c r="T1050" i="5"/>
  <c r="S1055" i="5"/>
  <c r="S1060" i="5"/>
  <c r="AB1062" i="5"/>
  <c r="S1066" i="5"/>
  <c r="T1080" i="5"/>
  <c r="S1080" i="5"/>
  <c r="S1083" i="5"/>
  <c r="S1088" i="5"/>
  <c r="F1102" i="5"/>
  <c r="V1110" i="5"/>
  <c r="F1110" i="5" s="1"/>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33" i="5" s="1"/>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I1204" i="5" s="1"/>
  <c r="AB1204" i="5"/>
  <c r="T1229" i="5"/>
  <c r="S1229" i="5"/>
  <c r="AB1229" i="5"/>
  <c r="V1289" i="5"/>
  <c r="H1289" i="5" s="1"/>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R1297" i="5" s="1"/>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H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H1285" i="5" s="1"/>
  <c r="AB1289" i="5"/>
  <c r="G1301" i="5"/>
  <c r="S1302" i="5"/>
  <c r="T1313" i="5"/>
  <c r="AB1316" i="5"/>
  <c r="V1317" i="5"/>
  <c r="G1317" i="5" s="1"/>
  <c r="AB1321" i="5"/>
  <c r="G1333" i="5"/>
  <c r="S1334" i="5"/>
  <c r="G1336" i="5"/>
  <c r="G1349" i="5"/>
  <c r="S1382" i="5"/>
  <c r="AB1390" i="5"/>
  <c r="G1397" i="5"/>
  <c r="AB1405" i="5"/>
  <c r="G1414" i="5"/>
  <c r="V1430" i="5"/>
  <c r="V1438" i="5"/>
  <c r="E1438" i="5" s="1"/>
  <c r="X1438" i="5" s="1"/>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T1332" i="5"/>
  <c r="S1339" i="5"/>
  <c r="AB1360" i="5"/>
  <c r="F1371" i="5"/>
  <c r="F1380" i="5"/>
  <c r="G1410" i="5"/>
  <c r="G1423" i="5"/>
  <c r="F1450" i="5"/>
  <c r="E1451" i="5"/>
  <c r="X1451" i="5" s="1"/>
  <c r="G1467" i="5"/>
  <c r="I1468" i="5"/>
  <c r="AB1481" i="5"/>
  <c r="S1481" i="5"/>
  <c r="T1485" i="5"/>
  <c r="T1489" i="5"/>
  <c r="H1491" i="5"/>
  <c r="S1499" i="5"/>
  <c r="V1508" i="5"/>
  <c r="H1508" i="5" s="1"/>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R1713" i="5" s="1"/>
  <c r="T1786" i="5"/>
  <c r="AB1786" i="5"/>
  <c r="S1786" i="5"/>
  <c r="E1816" i="5"/>
  <c r="X1816" i="5" s="1"/>
  <c r="J1816" i="5"/>
  <c r="R1893" i="5"/>
  <c r="F1893" i="5"/>
  <c r="E1893" i="5"/>
  <c r="X1893" i="5" s="1"/>
  <c r="J1893" i="5"/>
  <c r="I1893" i="5"/>
  <c r="AB1232" i="5"/>
  <c r="AB1248" i="5"/>
  <c r="S1267" i="5"/>
  <c r="S1286" i="5"/>
  <c r="S1299"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H1633" i="5"/>
  <c r="T1647" i="5"/>
  <c r="S1647" i="5"/>
  <c r="E1649" i="5"/>
  <c r="X1649" i="5" s="1"/>
  <c r="I1649" i="5"/>
  <c r="H1649" i="5"/>
  <c r="F1649" i="5"/>
  <c r="AB1684" i="5"/>
  <c r="V1684" i="5"/>
  <c r="F1684" i="5" s="1"/>
  <c r="AB1708" i="5"/>
  <c r="V1708" i="5"/>
  <c r="E1708" i="5" s="1"/>
  <c r="X1708" i="5" s="1"/>
  <c r="V1786" i="5"/>
  <c r="G1786" i="5" s="1"/>
  <c r="AB1799" i="5"/>
  <c r="T1799" i="5"/>
  <c r="S1799" i="5"/>
  <c r="I1843" i="5"/>
  <c r="H1843" i="5"/>
  <c r="R1908" i="5"/>
  <c r="I1908" i="5"/>
  <c r="R1916" i="5"/>
  <c r="I1916" i="5"/>
  <c r="G1218" i="5"/>
  <c r="F1277" i="5"/>
  <c r="S1282" i="5"/>
  <c r="F1309" i="5"/>
  <c r="S1314" i="5"/>
  <c r="AB1361"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F1754" i="5" s="1"/>
  <c r="AB1754" i="5"/>
  <c r="T1790" i="5"/>
  <c r="AB1790" i="5"/>
  <c r="S1790" i="5"/>
  <c r="AB1811" i="5"/>
  <c r="T1811" i="5"/>
  <c r="S1811" i="5"/>
  <c r="G1843" i="5"/>
  <c r="T1872" i="5"/>
  <c r="AB1872" i="5"/>
  <c r="AB1513" i="5"/>
  <c r="AB1537" i="5"/>
  <c r="AB1542" i="5"/>
  <c r="AB1581" i="5"/>
  <c r="AB1613" i="5"/>
  <c r="V1641" i="5"/>
  <c r="G1641" i="5" s="1"/>
  <c r="V1657" i="5"/>
  <c r="G1657" i="5" s="1"/>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H1644" i="5" s="1"/>
  <c r="AB1645" i="5"/>
  <c r="AB1648" i="5"/>
  <c r="S1651" i="5"/>
  <c r="AB1653" i="5"/>
  <c r="AB1656" i="5"/>
  <c r="AB1659" i="5"/>
  <c r="I1661" i="5"/>
  <c r="S1680"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H2077" i="5" s="1"/>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R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J2044" i="5" s="1"/>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R2092" i="5" s="1"/>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E2161" i="5" s="1"/>
  <c r="X2161" i="5" s="1"/>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F2157" i="5" s="1"/>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AB2197" i="5"/>
  <c r="AB2200" i="5"/>
  <c r="AB2213" i="5"/>
  <c r="AB2216" i="5"/>
  <c r="G2218" i="5"/>
  <c r="E2221" i="5"/>
  <c r="X2221" i="5" s="1"/>
  <c r="AB2253" i="5"/>
  <c r="E2261" i="5"/>
  <c r="X2261" i="5" s="1"/>
  <c r="S2270" i="5"/>
  <c r="AB2277" i="5"/>
  <c r="AB2293" i="5"/>
  <c r="V2293" i="5"/>
  <c r="J2293" i="5" s="1"/>
  <c r="S2296" i="5"/>
  <c r="I2303" i="5"/>
  <c r="F2309" i="5"/>
  <c r="V2310" i="5"/>
  <c r="F2310" i="5" s="1"/>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G2173" i="5" s="1"/>
  <c r="AB2184" i="5"/>
  <c r="AB2188" i="5"/>
  <c r="AB2192" i="5"/>
  <c r="G2194" i="5"/>
  <c r="G2202" i="5"/>
  <c r="AB2205" i="5"/>
  <c r="AB2208" i="5"/>
  <c r="G2210" i="5"/>
  <c r="H2218" i="5"/>
  <c r="F2221" i="5"/>
  <c r="V2232" i="5"/>
  <c r="R2232" i="5" s="1"/>
  <c r="AB2240" i="5"/>
  <c r="AB2249"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R2330" i="5" s="1"/>
  <c r="V2334" i="5"/>
  <c r="R2334" i="5" s="1"/>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G2480" i="5" s="1"/>
  <c r="I2484" i="5"/>
  <c r="E2494" i="5"/>
  <c r="H2503" i="5"/>
  <c r="AB2386"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AB23" i="5"/>
  <c r="X28" i="5"/>
  <c r="V112" i="5"/>
  <c r="AB115" i="5"/>
  <c r="R146" i="5"/>
  <c r="V176" i="5"/>
  <c r="AB179" i="5"/>
  <c r="AB201" i="5"/>
  <c r="R234" i="5"/>
  <c r="X254" i="5"/>
  <c r="R254" i="5"/>
  <c r="X286" i="5"/>
  <c r="R286" i="5"/>
  <c r="AB320" i="5"/>
  <c r="V320" i="5"/>
  <c r="G320" i="5" s="1"/>
  <c r="AB412" i="5"/>
  <c r="AB105" i="5"/>
  <c r="R114" i="5"/>
  <c r="AB137" i="5"/>
  <c r="V144" i="5"/>
  <c r="AB147" i="5"/>
  <c r="AB169" i="5"/>
  <c r="R178" i="5"/>
  <c r="AB240" i="5"/>
  <c r="X270" i="5"/>
  <c r="R270" i="5"/>
  <c r="R311" i="5"/>
  <c r="H311" i="5"/>
  <c r="I311" i="5"/>
  <c r="F311" i="5"/>
  <c r="E311" i="5"/>
  <c r="J311" i="5"/>
  <c r="R5" i="5"/>
  <c r="AB20" i="5"/>
  <c r="R21" i="5"/>
  <c r="AB28" i="5"/>
  <c r="R29" i="5"/>
  <c r="AB34" i="5"/>
  <c r="AB38" i="5"/>
  <c r="AB42" i="5"/>
  <c r="AB46" i="5"/>
  <c r="AB50" i="5"/>
  <c r="AB54" i="5"/>
  <c r="AB58" i="5"/>
  <c r="AB62" i="5"/>
  <c r="AB66" i="5"/>
  <c r="AB70" i="5"/>
  <c r="AB74" i="5"/>
  <c r="AB78" i="5"/>
  <c r="AB82" i="5"/>
  <c r="AB86" i="5"/>
  <c r="AB90" i="5"/>
  <c r="AB94" i="5"/>
  <c r="AB98" i="5"/>
  <c r="AB104" i="5"/>
  <c r="AB117" i="5"/>
  <c r="V124" i="5"/>
  <c r="X125" i="5"/>
  <c r="R126" i="5"/>
  <c r="AB127" i="5"/>
  <c r="AB136" i="5"/>
  <c r="AB149" i="5"/>
  <c r="V156" i="5"/>
  <c r="X157" i="5"/>
  <c r="R158" i="5"/>
  <c r="AB159" i="5"/>
  <c r="AB168" i="5"/>
  <c r="X178" i="5"/>
  <c r="AB181" i="5"/>
  <c r="V188" i="5"/>
  <c r="R190" i="5"/>
  <c r="AB191" i="5"/>
  <c r="AB200" i="5"/>
  <c r="R218" i="5"/>
  <c r="AB220" i="5"/>
  <c r="X238" i="5"/>
  <c r="R238" i="5"/>
  <c r="AB244" i="5"/>
  <c r="AB260" i="5"/>
  <c r="AB276" i="5"/>
  <c r="AB292" i="5"/>
  <c r="G311" i="5"/>
  <c r="AB5" i="5"/>
  <c r="AB21" i="5"/>
  <c r="AB29" i="5"/>
  <c r="AB35" i="5"/>
  <c r="AB39" i="5"/>
  <c r="AB43" i="5"/>
  <c r="AB47" i="5"/>
  <c r="AB51" i="5"/>
  <c r="AB55" i="5"/>
  <c r="AB59" i="5"/>
  <c r="AB63" i="5"/>
  <c r="AB67" i="5"/>
  <c r="AB71" i="5"/>
  <c r="AB75" i="5"/>
  <c r="AB79" i="5"/>
  <c r="AB83" i="5"/>
  <c r="AB87" i="5"/>
  <c r="AB91" i="5"/>
  <c r="AB95" i="5"/>
  <c r="AB99" i="5"/>
  <c r="V104" i="5"/>
  <c r="R106" i="5"/>
  <c r="AB107" i="5"/>
  <c r="AB116" i="5"/>
  <c r="AB129" i="5"/>
  <c r="V136" i="5"/>
  <c r="R138" i="5"/>
  <c r="AB139" i="5"/>
  <c r="AB148" i="5"/>
  <c r="AB161" i="5"/>
  <c r="V168" i="5"/>
  <c r="R170" i="5"/>
  <c r="AB171" i="5"/>
  <c r="AB180" i="5"/>
  <c r="AB193" i="5"/>
  <c r="V200" i="5"/>
  <c r="R202" i="5"/>
  <c r="AB203" i="5"/>
  <c r="AB209" i="5"/>
  <c r="R210" i="5"/>
  <c r="V220" i="5"/>
  <c r="R221" i="5"/>
  <c r="R242" i="5"/>
  <c r="X258" i="5"/>
  <c r="R258" i="5"/>
  <c r="X274" i="5"/>
  <c r="R274" i="5"/>
  <c r="R323" i="5"/>
  <c r="H323" i="5"/>
  <c r="J323" i="5"/>
  <c r="I323" i="5"/>
  <c r="F323" i="5"/>
  <c r="E323" i="5"/>
  <c r="AB360" i="5"/>
  <c r="E371" i="5"/>
  <c r="X371" i="5" s="1"/>
  <c r="R371" i="5"/>
  <c r="J371" i="5"/>
  <c r="H371" i="5"/>
  <c r="I371" i="5"/>
  <c r="F371" i="5"/>
  <c r="E383" i="5"/>
  <c r="R383" i="5"/>
  <c r="J383" i="5"/>
  <c r="T383" i="5" s="1"/>
  <c r="H383" i="5"/>
  <c r="I383" i="5"/>
  <c r="G383" i="5"/>
  <c r="F383" i="5"/>
  <c r="V116" i="5"/>
  <c r="AB119" i="5"/>
  <c r="V148" i="5"/>
  <c r="AB151" i="5"/>
  <c r="AB173" i="5"/>
  <c r="V180" i="5"/>
  <c r="X181" i="5"/>
  <c r="R182" i="5"/>
  <c r="AB183" i="5"/>
  <c r="AB205" i="5"/>
  <c r="AB212" i="5"/>
  <c r="AB248" i="5"/>
  <c r="AB264" i="5"/>
  <c r="AB280" i="5"/>
  <c r="AB296" i="5"/>
  <c r="R319" i="5"/>
  <c r="H319" i="5"/>
  <c r="I319" i="5"/>
  <c r="F319" i="5"/>
  <c r="E319" i="5"/>
  <c r="J319" i="5"/>
  <c r="AB328" i="5"/>
  <c r="V328" i="5"/>
  <c r="G328" i="5" s="1"/>
  <c r="E351" i="5"/>
  <c r="X351" i="5" s="1"/>
  <c r="R351" i="5"/>
  <c r="J351" i="5"/>
  <c r="H351" i="5"/>
  <c r="I351" i="5"/>
  <c r="F351" i="5"/>
  <c r="AB358" i="5"/>
  <c r="V358" i="5"/>
  <c r="G358" i="5" s="1"/>
  <c r="R118" i="5"/>
  <c r="X5" i="5"/>
  <c r="AB121" i="5"/>
  <c r="V128" i="5"/>
  <c r="R130" i="5"/>
  <c r="AB131" i="5"/>
  <c r="AB153" i="5"/>
  <c r="V160" i="5"/>
  <c r="R162" i="5"/>
  <c r="AB163" i="5"/>
  <c r="AB185" i="5"/>
  <c r="V192" i="5"/>
  <c r="AB195" i="5"/>
  <c r="R206" i="5"/>
  <c r="X209" i="5"/>
  <c r="V212" i="5"/>
  <c r="R213" i="5"/>
  <c r="X222" i="5"/>
  <c r="R222" i="5"/>
  <c r="AB224" i="5"/>
  <c r="R246" i="5"/>
  <c r="R278" i="5"/>
  <c r="X294" i="5"/>
  <c r="R294" i="5"/>
  <c r="R307" i="5"/>
  <c r="X307" i="5"/>
  <c r="G319" i="5"/>
  <c r="AB408" i="5"/>
  <c r="AB109" i="5"/>
  <c r="X117" i="5"/>
  <c r="AB141" i="5"/>
  <c r="R150" i="5"/>
  <c r="AB19" i="5"/>
  <c r="AB27" i="5"/>
  <c r="X29" i="5"/>
  <c r="X24" i="5"/>
  <c r="R28" i="5"/>
  <c r="X32" i="5"/>
  <c r="AB36" i="5"/>
  <c r="AB40" i="5"/>
  <c r="AB44" i="5"/>
  <c r="AB48" i="5"/>
  <c r="AB52" i="5"/>
  <c r="AB56" i="5"/>
  <c r="AB60" i="5"/>
  <c r="AB64" i="5"/>
  <c r="AB68" i="5"/>
  <c r="AB72" i="5"/>
  <c r="AB76" i="5"/>
  <c r="AB80" i="5"/>
  <c r="AB84" i="5"/>
  <c r="AB88" i="5"/>
  <c r="AB92" i="5"/>
  <c r="AB96" i="5"/>
  <c r="AB100" i="5"/>
  <c r="AB101" i="5"/>
  <c r="V108" i="5"/>
  <c r="X109" i="5"/>
  <c r="R110" i="5"/>
  <c r="AB111" i="5"/>
  <c r="AB120" i="5"/>
  <c r="AB133" i="5"/>
  <c r="V140" i="5"/>
  <c r="X141" i="5"/>
  <c r="R142" i="5"/>
  <c r="AB143" i="5"/>
  <c r="AB152" i="5"/>
  <c r="AB165" i="5"/>
  <c r="V172" i="5"/>
  <c r="X173" i="5"/>
  <c r="R174" i="5"/>
  <c r="AB175" i="5"/>
  <c r="AB184" i="5"/>
  <c r="AB197" i="5"/>
  <c r="V204" i="5"/>
  <c r="X205" i="5"/>
  <c r="AB208" i="5"/>
  <c r="AB228" i="5"/>
  <c r="AB252" i="5"/>
  <c r="AB268" i="5"/>
  <c r="AB284" i="5"/>
  <c r="AB300" i="5"/>
  <c r="AB303" i="5"/>
  <c r="AB312" i="5"/>
  <c r="V312" i="5"/>
  <c r="G312" i="5" s="1"/>
  <c r="R331" i="5"/>
  <c r="H331" i="5"/>
  <c r="J331" i="5"/>
  <c r="I331" i="5"/>
  <c r="F331" i="5"/>
  <c r="E331" i="5"/>
  <c r="E384" i="5"/>
  <c r="X384" i="5" s="1"/>
  <c r="J384" i="5"/>
  <c r="R384" i="5"/>
  <c r="I384" i="5"/>
  <c r="H384" i="5"/>
  <c r="F384" i="5"/>
  <c r="AB402" i="5"/>
  <c r="V402" i="5"/>
  <c r="G402" i="5" s="1"/>
  <c r="AB31" i="5"/>
  <c r="AB25" i="5"/>
  <c r="AB37" i="5"/>
  <c r="AB45" i="5"/>
  <c r="AB53" i="5"/>
  <c r="AB57" i="5"/>
  <c r="AB61" i="5"/>
  <c r="AB65" i="5"/>
  <c r="AB69" i="5"/>
  <c r="AB73" i="5"/>
  <c r="AB81" i="5"/>
  <c r="AB89" i="5"/>
  <c r="V100" i="5"/>
  <c r="AB113" i="5"/>
  <c r="R117" i="5"/>
  <c r="V120" i="5"/>
  <c r="AB123" i="5"/>
  <c r="AB145" i="5"/>
  <c r="R149" i="5"/>
  <c r="V152" i="5"/>
  <c r="X153" i="5"/>
  <c r="R154" i="5"/>
  <c r="AB155" i="5"/>
  <c r="AB177" i="5"/>
  <c r="R181" i="5"/>
  <c r="V184" i="5"/>
  <c r="X185" i="5"/>
  <c r="R186" i="5"/>
  <c r="AB187" i="5"/>
  <c r="V208" i="5"/>
  <c r="R209" i="5"/>
  <c r="R214" i="5"/>
  <c r="AB216" i="5"/>
  <c r="R226" i="5"/>
  <c r="AB232" i="5"/>
  <c r="R250" i="5"/>
  <c r="X266" i="5"/>
  <c r="R266" i="5"/>
  <c r="R282" i="5"/>
  <c r="X298" i="5"/>
  <c r="R298" i="5"/>
  <c r="R327" i="5"/>
  <c r="H327" i="5"/>
  <c r="I327" i="5"/>
  <c r="F327" i="5"/>
  <c r="E327" i="5"/>
  <c r="J327" i="5"/>
  <c r="V339" i="5"/>
  <c r="G339" i="5" s="1"/>
  <c r="E352" i="5"/>
  <c r="X352" i="5" s="1"/>
  <c r="J352" i="5"/>
  <c r="R352" i="5"/>
  <c r="I352" i="5"/>
  <c r="H352" i="5"/>
  <c r="F352" i="5"/>
  <c r="AB361" i="5"/>
  <c r="I470" i="5"/>
  <c r="H470" i="5"/>
  <c r="F470" i="5"/>
  <c r="E470" i="5"/>
  <c r="X470" i="5" s="1"/>
  <c r="R470" i="5"/>
  <c r="J470" i="5"/>
  <c r="I494" i="5"/>
  <c r="H494" i="5"/>
  <c r="E494" i="5"/>
  <c r="X494" i="5" s="1"/>
  <c r="R494" i="5"/>
  <c r="J494" i="5"/>
  <c r="G494" i="5"/>
  <c r="F494" i="5"/>
  <c r="AB33" i="5"/>
  <c r="AB41" i="5"/>
  <c r="AB49" i="5"/>
  <c r="AB77" i="5"/>
  <c r="AB85" i="5"/>
  <c r="AB93" i="5"/>
  <c r="AB97" i="5"/>
  <c r="R122" i="5"/>
  <c r="R18" i="5"/>
  <c r="R23" i="5"/>
  <c r="R26" i="5"/>
  <c r="X30" i="5"/>
  <c r="R31" i="5"/>
  <c r="X36" i="5"/>
  <c r="X40" i="5"/>
  <c r="X52" i="5"/>
  <c r="X56" i="5"/>
  <c r="X60" i="5"/>
  <c r="X64" i="5"/>
  <c r="X68" i="5"/>
  <c r="X72" i="5"/>
  <c r="X80" i="5"/>
  <c r="X84" i="5"/>
  <c r="X88" i="5"/>
  <c r="X101" i="5"/>
  <c r="R102" i="5"/>
  <c r="AB103" i="5"/>
  <c r="AB112" i="5"/>
  <c r="AB125" i="5"/>
  <c r="R129" i="5"/>
  <c r="V132" i="5"/>
  <c r="X133" i="5"/>
  <c r="R134" i="5"/>
  <c r="AB135" i="5"/>
  <c r="AB144" i="5"/>
  <c r="AB157" i="5"/>
  <c r="R161" i="5"/>
  <c r="V164" i="5"/>
  <c r="R166" i="5"/>
  <c r="AB167" i="5"/>
  <c r="AB176" i="5"/>
  <c r="AB189" i="5"/>
  <c r="R193" i="5"/>
  <c r="V196" i="5"/>
  <c r="X197" i="5"/>
  <c r="R198" i="5"/>
  <c r="AB199" i="5"/>
  <c r="V216" i="5"/>
  <c r="R217" i="5"/>
  <c r="R230" i="5"/>
  <c r="AB236" i="5"/>
  <c r="AB256" i="5"/>
  <c r="AB272" i="5"/>
  <c r="AB288" i="5"/>
  <c r="R315" i="5"/>
  <c r="H315" i="5"/>
  <c r="J315" i="5"/>
  <c r="T315" i="5" s="1"/>
  <c r="I315" i="5"/>
  <c r="F315" i="5"/>
  <c r="E315" i="5"/>
  <c r="G327" i="5"/>
  <c r="E335" i="5"/>
  <c r="R335" i="5"/>
  <c r="H335" i="5"/>
  <c r="J335" i="5"/>
  <c r="I335" i="5"/>
  <c r="F335" i="5"/>
  <c r="V359" i="5"/>
  <c r="G359" i="5" s="1"/>
  <c r="I318" i="5"/>
  <c r="F318" i="5"/>
  <c r="I326" i="5"/>
  <c r="F326" i="5"/>
  <c r="E332" i="5"/>
  <c r="X332" i="5" s="1"/>
  <c r="J332" i="5"/>
  <c r="AB336" i="5"/>
  <c r="E343" i="5"/>
  <c r="X343" i="5" s="1"/>
  <c r="R343" i="5"/>
  <c r="J343" i="5"/>
  <c r="H343" i="5"/>
  <c r="E344" i="5"/>
  <c r="X344" i="5" s="1"/>
  <c r="J344" i="5"/>
  <c r="AB350" i="5"/>
  <c r="V350" i="5"/>
  <c r="G350" i="5" s="1"/>
  <c r="I368" i="5"/>
  <c r="AB373" i="5"/>
  <c r="V375" i="5"/>
  <c r="E376" i="5"/>
  <c r="J376" i="5"/>
  <c r="H380" i="5"/>
  <c r="AB382" i="5"/>
  <c r="V382" i="5"/>
  <c r="AB385" i="5"/>
  <c r="R471" i="5"/>
  <c r="J471" i="5"/>
  <c r="I471" i="5"/>
  <c r="H471" i="5"/>
  <c r="G471" i="5"/>
  <c r="F471" i="5"/>
  <c r="E471" i="5"/>
  <c r="X471" i="5" s="1"/>
  <c r="R499" i="5"/>
  <c r="J499" i="5"/>
  <c r="I499" i="5"/>
  <c r="H499" i="5"/>
  <c r="F499" i="5"/>
  <c r="E499" i="5"/>
  <c r="X499" i="5" s="1"/>
  <c r="R531" i="5"/>
  <c r="J531" i="5"/>
  <c r="I531" i="5"/>
  <c r="H531" i="5"/>
  <c r="F531" i="5"/>
  <c r="E531" i="5"/>
  <c r="X531" i="5" s="1"/>
  <c r="AB213" i="5"/>
  <c r="AB217" i="5"/>
  <c r="AB221" i="5"/>
  <c r="V224" i="5"/>
  <c r="AB225" i="5"/>
  <c r="V228" i="5"/>
  <c r="AB229" i="5"/>
  <c r="V232" i="5"/>
  <c r="AB233" i="5"/>
  <c r="V236" i="5"/>
  <c r="AB237" i="5"/>
  <c r="V240" i="5"/>
  <c r="AB241" i="5"/>
  <c r="V244" i="5"/>
  <c r="AB245" i="5"/>
  <c r="V248" i="5"/>
  <c r="AB249" i="5"/>
  <c r="V252" i="5"/>
  <c r="AB253" i="5"/>
  <c r="V256" i="5"/>
  <c r="AB257" i="5"/>
  <c r="V260" i="5"/>
  <c r="AB261" i="5"/>
  <c r="V264" i="5"/>
  <c r="AB265" i="5"/>
  <c r="V268" i="5"/>
  <c r="AB269" i="5"/>
  <c r="V272" i="5"/>
  <c r="AB273" i="5"/>
  <c r="V276" i="5"/>
  <c r="AB277" i="5"/>
  <c r="V280" i="5"/>
  <c r="AB281" i="5"/>
  <c r="V284" i="5"/>
  <c r="AB285" i="5"/>
  <c r="V288" i="5"/>
  <c r="AB289" i="5"/>
  <c r="V292" i="5"/>
  <c r="AB293" i="5"/>
  <c r="V296" i="5"/>
  <c r="AB297" i="5"/>
  <c r="V300" i="5"/>
  <c r="AB301" i="5"/>
  <c r="R302" i="5"/>
  <c r="R304" i="5"/>
  <c r="V308" i="5"/>
  <c r="AB310" i="5"/>
  <c r="V316" i="5"/>
  <c r="I317" i="5"/>
  <c r="E318" i="5"/>
  <c r="AB318" i="5"/>
  <c r="V324" i="5"/>
  <c r="I325" i="5"/>
  <c r="E326" i="5"/>
  <c r="AB326" i="5"/>
  <c r="AB332" i="5"/>
  <c r="G335" i="5"/>
  <c r="G336" i="5"/>
  <c r="I337" i="5"/>
  <c r="G337" i="5"/>
  <c r="AB343" i="5"/>
  <c r="AB353" i="5"/>
  <c r="V355" i="5"/>
  <c r="E356" i="5"/>
  <c r="J356" i="5"/>
  <c r="H360" i="5"/>
  <c r="AB362" i="5"/>
  <c r="V362" i="5"/>
  <c r="G371" i="5"/>
  <c r="AB375" i="5"/>
  <c r="AB389" i="5"/>
  <c r="R459" i="5"/>
  <c r="G459" i="5"/>
  <c r="F459" i="5"/>
  <c r="E459" i="5"/>
  <c r="X459" i="5" s="1"/>
  <c r="J459" i="5"/>
  <c r="I459" i="5"/>
  <c r="H459" i="5"/>
  <c r="AB305" i="5"/>
  <c r="AB313" i="5"/>
  <c r="G315" i="5"/>
  <c r="G318" i="5"/>
  <c r="AB321" i="5"/>
  <c r="G323" i="5"/>
  <c r="G326" i="5"/>
  <c r="AB329" i="5"/>
  <c r="G331" i="5"/>
  <c r="G332" i="5"/>
  <c r="I333" i="5"/>
  <c r="G333" i="5"/>
  <c r="F336" i="5"/>
  <c r="AB342" i="5"/>
  <c r="V342" i="5"/>
  <c r="G351" i="5"/>
  <c r="I360" i="5"/>
  <c r="F363" i="5"/>
  <c r="V367" i="5"/>
  <c r="E368" i="5"/>
  <c r="X368" i="5" s="1"/>
  <c r="J368" i="5"/>
  <c r="AB374" i="5"/>
  <c r="V374" i="5"/>
  <c r="AB386" i="5"/>
  <c r="V386" i="5"/>
  <c r="F387" i="5"/>
  <c r="AB393" i="5"/>
  <c r="E399" i="5"/>
  <c r="X399" i="5" s="1"/>
  <c r="R399" i="5"/>
  <c r="J399" i="5"/>
  <c r="H399" i="5"/>
  <c r="E464" i="5"/>
  <c r="X464" i="5" s="1"/>
  <c r="I464" i="5"/>
  <c r="H464" i="5"/>
  <c r="G464" i="5"/>
  <c r="F464" i="5"/>
  <c r="R464" i="5"/>
  <c r="J464" i="5"/>
  <c r="I478" i="5"/>
  <c r="H478" i="5"/>
  <c r="E478" i="5"/>
  <c r="X478" i="5" s="1"/>
  <c r="R478" i="5"/>
  <c r="J478" i="5"/>
  <c r="G478" i="5"/>
  <c r="F478" i="5"/>
  <c r="H318" i="5"/>
  <c r="H326" i="5"/>
  <c r="F332" i="5"/>
  <c r="AB333" i="5"/>
  <c r="H336" i="5"/>
  <c r="F343" i="5"/>
  <c r="AB345" i="5"/>
  <c r="E347" i="5"/>
  <c r="R347" i="5"/>
  <c r="J347" i="5"/>
  <c r="H347" i="5"/>
  <c r="E348" i="5"/>
  <c r="X348" i="5" s="1"/>
  <c r="J348" i="5"/>
  <c r="AB354" i="5"/>
  <c r="V354" i="5"/>
  <c r="G354" i="5" s="1"/>
  <c r="G363" i="5"/>
  <c r="F364" i="5"/>
  <c r="AB367" i="5"/>
  <c r="AB377" i="5"/>
  <c r="E379" i="5"/>
  <c r="X379" i="5" s="1"/>
  <c r="E380" i="5"/>
  <c r="X380" i="5" s="1"/>
  <c r="J380" i="5"/>
  <c r="G387" i="5"/>
  <c r="AB390" i="5"/>
  <c r="V390" i="5"/>
  <c r="AB397" i="5"/>
  <c r="R483" i="5"/>
  <c r="J483" i="5"/>
  <c r="I483" i="5"/>
  <c r="H483" i="5"/>
  <c r="F483" i="5"/>
  <c r="E483" i="5"/>
  <c r="I510" i="5"/>
  <c r="H510" i="5"/>
  <c r="E510" i="5"/>
  <c r="X510" i="5" s="1"/>
  <c r="R510" i="5"/>
  <c r="J510" i="5"/>
  <c r="G510" i="5"/>
  <c r="F510" i="5"/>
  <c r="I542" i="5"/>
  <c r="H542" i="5"/>
  <c r="E542" i="5"/>
  <c r="R542" i="5"/>
  <c r="J542" i="5"/>
  <c r="G542" i="5"/>
  <c r="F542" i="5"/>
  <c r="I314" i="5"/>
  <c r="J318" i="5"/>
  <c r="I322" i="5"/>
  <c r="F322" i="5"/>
  <c r="J326" i="5"/>
  <c r="H332" i="5"/>
  <c r="I336" i="5"/>
  <c r="R338" i="5"/>
  <c r="I338" i="5"/>
  <c r="F338" i="5"/>
  <c r="AB338" i="5"/>
  <c r="G343" i="5"/>
  <c r="F344" i="5"/>
  <c r="E360" i="5"/>
  <c r="J360" i="5"/>
  <c r="H364" i="5"/>
  <c r="AB366" i="5"/>
  <c r="V366" i="5"/>
  <c r="AB394" i="5"/>
  <c r="V394" i="5"/>
  <c r="AB401" i="5"/>
  <c r="AB416" i="5"/>
  <c r="R515" i="5"/>
  <c r="J515" i="5"/>
  <c r="I515" i="5"/>
  <c r="H515" i="5"/>
  <c r="F515" i="5"/>
  <c r="E515" i="5"/>
  <c r="X515" i="5" s="1"/>
  <c r="R310" i="5"/>
  <c r="I313" i="5"/>
  <c r="R318" i="5"/>
  <c r="I321" i="5"/>
  <c r="E322" i="5"/>
  <c r="R326" i="5"/>
  <c r="I329" i="5"/>
  <c r="I332" i="5"/>
  <c r="F333" i="5"/>
  <c r="AB334" i="5"/>
  <c r="E338" i="5"/>
  <c r="AB339" i="5"/>
  <c r="V340" i="5"/>
  <c r="G340" i="5" s="1"/>
  <c r="I343" i="5"/>
  <c r="H344" i="5"/>
  <c r="AB346" i="5"/>
  <c r="V346" i="5"/>
  <c r="F356" i="5"/>
  <c r="AB359" i="5"/>
  <c r="AB369" i="5"/>
  <c r="E372" i="5"/>
  <c r="X372" i="5" s="1"/>
  <c r="J372" i="5"/>
  <c r="H376" i="5"/>
  <c r="AB378" i="5"/>
  <c r="V378" i="5"/>
  <c r="AB398" i="5"/>
  <c r="V398" i="5"/>
  <c r="F399" i="5"/>
  <c r="AB405" i="5"/>
  <c r="AB409" i="5"/>
  <c r="E336" i="5"/>
  <c r="J336" i="5"/>
  <c r="R344" i="5"/>
  <c r="AB351" i="5"/>
  <c r="AB352" i="5"/>
  <c r="E363" i="5"/>
  <c r="R363" i="5"/>
  <c r="J363" i="5"/>
  <c r="H363" i="5"/>
  <c r="E364" i="5"/>
  <c r="X364" i="5" s="1"/>
  <c r="J364" i="5"/>
  <c r="AB370" i="5"/>
  <c r="V370" i="5"/>
  <c r="G370" i="5" s="1"/>
  <c r="E387" i="5"/>
  <c r="R387" i="5"/>
  <c r="J387" i="5"/>
  <c r="H387" i="5"/>
  <c r="AB406" i="5"/>
  <c r="V406" i="5"/>
  <c r="G406" i="5" s="1"/>
  <c r="I526" i="5"/>
  <c r="H526" i="5"/>
  <c r="E526" i="5"/>
  <c r="X526" i="5" s="1"/>
  <c r="R526" i="5"/>
  <c r="J526" i="5"/>
  <c r="G526" i="5"/>
  <c r="F526" i="5"/>
  <c r="J388" i="5"/>
  <c r="J392" i="5"/>
  <c r="J396" i="5"/>
  <c r="J400" i="5"/>
  <c r="J404" i="5"/>
  <c r="J408" i="5"/>
  <c r="V410" i="5"/>
  <c r="J412" i="5"/>
  <c r="V414" i="5"/>
  <c r="J416" i="5"/>
  <c r="V418" i="5"/>
  <c r="J420" i="5"/>
  <c r="V422" i="5"/>
  <c r="J424" i="5"/>
  <c r="V426" i="5"/>
  <c r="J428" i="5"/>
  <c r="V430" i="5"/>
  <c r="J432" i="5"/>
  <c r="V434" i="5"/>
  <c r="J436" i="5"/>
  <c r="V438" i="5"/>
  <c r="J440" i="5"/>
  <c r="V442" i="5"/>
  <c r="H443" i="5"/>
  <c r="J444" i="5"/>
  <c r="V446" i="5"/>
  <c r="J448" i="5"/>
  <c r="V450" i="5"/>
  <c r="H451" i="5"/>
  <c r="J452" i="5"/>
  <c r="V454" i="5"/>
  <c r="H455" i="5"/>
  <c r="J456" i="5"/>
  <c r="V458" i="5"/>
  <c r="H461" i="5"/>
  <c r="AB466" i="5"/>
  <c r="G470" i="5"/>
  <c r="AB474" i="5"/>
  <c r="F476" i="5"/>
  <c r="E487" i="5"/>
  <c r="X487" i="5" s="1"/>
  <c r="F492" i="5"/>
  <c r="E503" i="5"/>
  <c r="F508" i="5"/>
  <c r="E519" i="5"/>
  <c r="X519" i="5" s="1"/>
  <c r="E535" i="5"/>
  <c r="F540" i="5"/>
  <c r="R547" i="5"/>
  <c r="J547" i="5"/>
  <c r="AB553" i="5"/>
  <c r="V553" i="5"/>
  <c r="E555" i="5"/>
  <c r="AB572" i="5"/>
  <c r="AB582" i="5"/>
  <c r="AB585" i="5"/>
  <c r="V585" i="5"/>
  <c r="AB596" i="5"/>
  <c r="AB597" i="5"/>
  <c r="V597" i="5"/>
  <c r="G597" i="5" s="1"/>
  <c r="H706" i="5"/>
  <c r="R706" i="5"/>
  <c r="J706" i="5"/>
  <c r="I706" i="5"/>
  <c r="F706" i="5"/>
  <c r="E706" i="5"/>
  <c r="X706" i="5" s="1"/>
  <c r="V460" i="5"/>
  <c r="V466" i="5"/>
  <c r="G466" i="5" s="1"/>
  <c r="V474" i="5"/>
  <c r="G474" i="5" s="1"/>
  <c r="V477" i="5"/>
  <c r="AB478" i="5"/>
  <c r="G483" i="5"/>
  <c r="AB483" i="5"/>
  <c r="E484" i="5"/>
  <c r="X484" i="5" s="1"/>
  <c r="I484" i="5"/>
  <c r="V493" i="5"/>
  <c r="G493" i="5" s="1"/>
  <c r="AB494" i="5"/>
  <c r="G499" i="5"/>
  <c r="AB499" i="5"/>
  <c r="E500" i="5"/>
  <c r="X500" i="5" s="1"/>
  <c r="I500" i="5"/>
  <c r="V509" i="5"/>
  <c r="G509" i="5" s="1"/>
  <c r="AB510" i="5"/>
  <c r="F514" i="5"/>
  <c r="G515" i="5"/>
  <c r="AB515" i="5"/>
  <c r="E516" i="5"/>
  <c r="X516" i="5" s="1"/>
  <c r="I516" i="5"/>
  <c r="F519" i="5"/>
  <c r="V525" i="5"/>
  <c r="AB526" i="5"/>
  <c r="F530" i="5"/>
  <c r="G531" i="5"/>
  <c r="AB531" i="5"/>
  <c r="E532" i="5"/>
  <c r="X532" i="5" s="1"/>
  <c r="I532" i="5"/>
  <c r="F535" i="5"/>
  <c r="V541" i="5"/>
  <c r="G541" i="5" s="1"/>
  <c r="AB542" i="5"/>
  <c r="F546" i="5"/>
  <c r="J550" i="5"/>
  <c r="I550" i="5"/>
  <c r="H550" i="5"/>
  <c r="E550" i="5"/>
  <c r="F555" i="5"/>
  <c r="AB558" i="5"/>
  <c r="R559" i="5"/>
  <c r="J559" i="5"/>
  <c r="J566" i="5"/>
  <c r="I566" i="5"/>
  <c r="H566" i="5"/>
  <c r="E566" i="5"/>
  <c r="X566" i="5" s="1"/>
  <c r="AB570" i="5"/>
  <c r="AB573" i="5"/>
  <c r="V573" i="5"/>
  <c r="G573" i="5" s="1"/>
  <c r="J443" i="5"/>
  <c r="J451" i="5"/>
  <c r="J455" i="5"/>
  <c r="J461" i="5"/>
  <c r="V462" i="5"/>
  <c r="G462" i="5" s="1"/>
  <c r="G468" i="5"/>
  <c r="R479" i="5"/>
  <c r="J479" i="5"/>
  <c r="G482" i="5"/>
  <c r="H487" i="5"/>
  <c r="F488" i="5"/>
  <c r="V490" i="5"/>
  <c r="R495" i="5"/>
  <c r="J495" i="5"/>
  <c r="G498" i="5"/>
  <c r="H503" i="5"/>
  <c r="F504" i="5"/>
  <c r="V506" i="5"/>
  <c r="R511" i="5"/>
  <c r="J511" i="5"/>
  <c r="G514" i="5"/>
  <c r="H519" i="5"/>
  <c r="F520" i="5"/>
  <c r="V522" i="5"/>
  <c r="R527" i="5"/>
  <c r="J527" i="5"/>
  <c r="G530" i="5"/>
  <c r="H535" i="5"/>
  <c r="F536" i="5"/>
  <c r="V538" i="5"/>
  <c r="R543" i="5"/>
  <c r="J543" i="5"/>
  <c r="G546" i="5"/>
  <c r="H555" i="5"/>
  <c r="AB580" i="5"/>
  <c r="J586" i="5"/>
  <c r="I586" i="5"/>
  <c r="H586" i="5"/>
  <c r="E586" i="5"/>
  <c r="X586" i="5" s="1"/>
  <c r="G341" i="5"/>
  <c r="G345" i="5"/>
  <c r="G349" i="5"/>
  <c r="G353" i="5"/>
  <c r="G357" i="5"/>
  <c r="G361" i="5"/>
  <c r="G369" i="5"/>
  <c r="G373" i="5"/>
  <c r="G377" i="5"/>
  <c r="G381" i="5"/>
  <c r="G385" i="5"/>
  <c r="G389" i="5"/>
  <c r="G393" i="5"/>
  <c r="G397" i="5"/>
  <c r="G401" i="5"/>
  <c r="G405" i="5"/>
  <c r="G409" i="5"/>
  <c r="G413" i="5"/>
  <c r="G417" i="5"/>
  <c r="G421" i="5"/>
  <c r="G425" i="5"/>
  <c r="G429" i="5"/>
  <c r="G433" i="5"/>
  <c r="G437" i="5"/>
  <c r="G441" i="5"/>
  <c r="R443" i="5"/>
  <c r="G445" i="5"/>
  <c r="G449" i="5"/>
  <c r="R451" i="5"/>
  <c r="G453" i="5"/>
  <c r="R455" i="5"/>
  <c r="G457" i="5"/>
  <c r="H468" i="5"/>
  <c r="V469" i="5"/>
  <c r="G469" i="5" s="1"/>
  <c r="G479" i="5"/>
  <c r="AB479" i="5"/>
  <c r="E480" i="5"/>
  <c r="X480" i="5" s="1"/>
  <c r="I480" i="5"/>
  <c r="J482" i="5"/>
  <c r="AB484" i="5"/>
  <c r="G488" i="5"/>
  <c r="V489" i="5"/>
  <c r="G489" i="5" s="1"/>
  <c r="AB490" i="5"/>
  <c r="G495" i="5"/>
  <c r="AB495" i="5"/>
  <c r="J498" i="5"/>
  <c r="AB500" i="5"/>
  <c r="G504" i="5"/>
  <c r="V505" i="5"/>
  <c r="G505" i="5" s="1"/>
  <c r="AB506" i="5"/>
  <c r="G511" i="5"/>
  <c r="AB511" i="5"/>
  <c r="E512" i="5"/>
  <c r="X512" i="5" s="1"/>
  <c r="I512" i="5"/>
  <c r="J514" i="5"/>
  <c r="AB516" i="5"/>
  <c r="G520" i="5"/>
  <c r="V521" i="5"/>
  <c r="G521" i="5" s="1"/>
  <c r="AB522" i="5"/>
  <c r="G527" i="5"/>
  <c r="AB527" i="5"/>
  <c r="E528" i="5"/>
  <c r="X528" i="5" s="1"/>
  <c r="I528" i="5"/>
  <c r="J530" i="5"/>
  <c r="AB532" i="5"/>
  <c r="G536" i="5"/>
  <c r="V537" i="5"/>
  <c r="G537" i="5" s="1"/>
  <c r="AB538" i="5"/>
  <c r="G543" i="5"/>
  <c r="AB543" i="5"/>
  <c r="E544" i="5"/>
  <c r="X544" i="5" s="1"/>
  <c r="I544" i="5"/>
  <c r="J546" i="5"/>
  <c r="F547" i="5"/>
  <c r="AB548" i="5"/>
  <c r="AB550" i="5"/>
  <c r="R551" i="5"/>
  <c r="J551" i="5"/>
  <c r="AB557" i="5"/>
  <c r="V557" i="5"/>
  <c r="G557" i="5" s="1"/>
  <c r="F558" i="5"/>
  <c r="E559" i="5"/>
  <c r="AB568" i="5"/>
  <c r="F570" i="5"/>
  <c r="AB578" i="5"/>
  <c r="AB581" i="5"/>
  <c r="V581" i="5"/>
  <c r="G581" i="5" s="1"/>
  <c r="H682" i="5"/>
  <c r="R682" i="5"/>
  <c r="J682" i="5"/>
  <c r="I682" i="5"/>
  <c r="F682" i="5"/>
  <c r="E682" i="5"/>
  <c r="X682" i="5" s="1"/>
  <c r="V467" i="5"/>
  <c r="I468" i="5"/>
  <c r="V475" i="5"/>
  <c r="F484" i="5"/>
  <c r="V486" i="5"/>
  <c r="G486" i="5" s="1"/>
  <c r="H488" i="5"/>
  <c r="R491" i="5"/>
  <c r="J491" i="5"/>
  <c r="F500" i="5"/>
  <c r="V502" i="5"/>
  <c r="H504" i="5"/>
  <c r="R507" i="5"/>
  <c r="J507" i="5"/>
  <c r="F516" i="5"/>
  <c r="V518" i="5"/>
  <c r="H520" i="5"/>
  <c r="R523" i="5"/>
  <c r="J523" i="5"/>
  <c r="F532" i="5"/>
  <c r="V534" i="5"/>
  <c r="G534" i="5" s="1"/>
  <c r="H536" i="5"/>
  <c r="R539" i="5"/>
  <c r="J539" i="5"/>
  <c r="V554" i="5"/>
  <c r="G554" i="5" s="1"/>
  <c r="G558" i="5"/>
  <c r="F559" i="5"/>
  <c r="AB562" i="5"/>
  <c r="R563" i="5"/>
  <c r="J563" i="5"/>
  <c r="AB566" i="5"/>
  <c r="AB569" i="5"/>
  <c r="V569" i="5"/>
  <c r="G569" i="5" s="1"/>
  <c r="G570"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J468" i="5"/>
  <c r="AB475" i="5"/>
  <c r="E476" i="5"/>
  <c r="X476" i="5" s="1"/>
  <c r="I476" i="5"/>
  <c r="F479" i="5"/>
  <c r="AB480" i="5"/>
  <c r="G484" i="5"/>
  <c r="V485" i="5"/>
  <c r="AB486" i="5"/>
  <c r="G491" i="5"/>
  <c r="AB491" i="5"/>
  <c r="E492" i="5"/>
  <c r="X492" i="5" s="1"/>
  <c r="I492" i="5"/>
  <c r="F495" i="5"/>
  <c r="AB496" i="5"/>
  <c r="G500" i="5"/>
  <c r="V501" i="5"/>
  <c r="G501" i="5" s="1"/>
  <c r="AB502" i="5"/>
  <c r="G507" i="5"/>
  <c r="AB507" i="5"/>
  <c r="E508" i="5"/>
  <c r="X508" i="5" s="1"/>
  <c r="I508" i="5"/>
  <c r="F511" i="5"/>
  <c r="AB512" i="5"/>
  <c r="G516" i="5"/>
  <c r="V517" i="5"/>
  <c r="AB518" i="5"/>
  <c r="G523" i="5"/>
  <c r="AB523" i="5"/>
  <c r="F527" i="5"/>
  <c r="AB528" i="5"/>
  <c r="G532" i="5"/>
  <c r="V533" i="5"/>
  <c r="G533" i="5" s="1"/>
  <c r="AB534" i="5"/>
  <c r="G539" i="5"/>
  <c r="AB539" i="5"/>
  <c r="E540" i="5"/>
  <c r="X540" i="5" s="1"/>
  <c r="I540" i="5"/>
  <c r="F543" i="5"/>
  <c r="AB544" i="5"/>
  <c r="AB549" i="5"/>
  <c r="V549" i="5"/>
  <c r="G549" i="5" s="1"/>
  <c r="F550" i="5"/>
  <c r="H559" i="5"/>
  <c r="AB576" i="5"/>
  <c r="J582" i="5"/>
  <c r="I582" i="5"/>
  <c r="H582" i="5"/>
  <c r="E582" i="5"/>
  <c r="X582" i="5" s="1"/>
  <c r="AB586" i="5"/>
  <c r="AB589" i="5"/>
  <c r="V589" i="5"/>
  <c r="H690" i="5"/>
  <c r="R690" i="5"/>
  <c r="J690" i="5"/>
  <c r="I690" i="5"/>
  <c r="F690" i="5"/>
  <c r="E690" i="5"/>
  <c r="X690" i="5" s="1"/>
  <c r="R468" i="5"/>
  <c r="I482" i="5"/>
  <c r="H482" i="5"/>
  <c r="E482" i="5"/>
  <c r="H484" i="5"/>
  <c r="R487" i="5"/>
  <c r="J487" i="5"/>
  <c r="I498" i="5"/>
  <c r="H498" i="5"/>
  <c r="E498" i="5"/>
  <c r="H500" i="5"/>
  <c r="R503" i="5"/>
  <c r="J503" i="5"/>
  <c r="I514" i="5"/>
  <c r="H514" i="5"/>
  <c r="E514" i="5"/>
  <c r="R519" i="5"/>
  <c r="J519" i="5"/>
  <c r="I530" i="5"/>
  <c r="H530" i="5"/>
  <c r="E530" i="5"/>
  <c r="R535" i="5"/>
  <c r="J535" i="5"/>
  <c r="I546" i="5"/>
  <c r="H546" i="5"/>
  <c r="E546" i="5"/>
  <c r="AB554" i="5"/>
  <c r="R555" i="5"/>
  <c r="J555" i="5"/>
  <c r="AB561" i="5"/>
  <c r="V561" i="5"/>
  <c r="G561" i="5" s="1"/>
  <c r="T564" i="5"/>
  <c r="S564" i="5"/>
  <c r="AB564" i="5"/>
  <c r="J570" i="5"/>
  <c r="I570" i="5"/>
  <c r="H570" i="5"/>
  <c r="E570" i="5"/>
  <c r="X570" i="5" s="1"/>
  <c r="AB574" i="5"/>
  <c r="AB577" i="5"/>
  <c r="V577" i="5"/>
  <c r="G577" i="5" s="1"/>
  <c r="R590" i="5"/>
  <c r="J590" i="5"/>
  <c r="I590" i="5"/>
  <c r="H590" i="5"/>
  <c r="E590" i="5"/>
  <c r="X590" i="5" s="1"/>
  <c r="H698" i="5"/>
  <c r="R698" i="5"/>
  <c r="J698" i="5"/>
  <c r="I698" i="5"/>
  <c r="F698" i="5"/>
  <c r="E698" i="5"/>
  <c r="X698" i="5" s="1"/>
  <c r="V465" i="5"/>
  <c r="G465" i="5" s="1"/>
  <c r="AB465" i="5"/>
  <c r="V473" i="5"/>
  <c r="AB476" i="5"/>
  <c r="V481" i="5"/>
  <c r="G481" i="5" s="1"/>
  <c r="AB482" i="5"/>
  <c r="J484" i="5"/>
  <c r="G487" i="5"/>
  <c r="AB487" i="5"/>
  <c r="E488" i="5"/>
  <c r="I488" i="5"/>
  <c r="AB492" i="5"/>
  <c r="V497" i="5"/>
  <c r="G497" i="5" s="1"/>
  <c r="AB498" i="5"/>
  <c r="J500" i="5"/>
  <c r="G503" i="5"/>
  <c r="AB503" i="5"/>
  <c r="E504" i="5"/>
  <c r="I504" i="5"/>
  <c r="AB508" i="5"/>
  <c r="V513" i="5"/>
  <c r="G513" i="5" s="1"/>
  <c r="AB514" i="5"/>
  <c r="J516" i="5"/>
  <c r="G519" i="5"/>
  <c r="AB519" i="5"/>
  <c r="E520" i="5"/>
  <c r="I520" i="5"/>
  <c r="AB524" i="5"/>
  <c r="V529" i="5"/>
  <c r="G529" i="5" s="1"/>
  <c r="AB530" i="5"/>
  <c r="J532" i="5"/>
  <c r="T532" i="5" s="1"/>
  <c r="G535" i="5"/>
  <c r="AB535" i="5"/>
  <c r="E536" i="5"/>
  <c r="X536" i="5" s="1"/>
  <c r="I536" i="5"/>
  <c r="AB540" i="5"/>
  <c r="V545" i="5"/>
  <c r="AB546" i="5"/>
  <c r="J558" i="5"/>
  <c r="I558" i="5"/>
  <c r="H558" i="5"/>
  <c r="E558" i="5"/>
  <c r="AB565" i="5"/>
  <c r="V565" i="5"/>
  <c r="AB584"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V579" i="5"/>
  <c r="V583" i="5"/>
  <c r="H584" i="5"/>
  <c r="V587" i="5"/>
  <c r="G587" i="5" s="1"/>
  <c r="V591" i="5"/>
  <c r="G591" i="5" s="1"/>
  <c r="V595" i="5"/>
  <c r="V599" i="5"/>
  <c r="G599" i="5" s="1"/>
  <c r="AB600" i="5"/>
  <c r="V603" i="5"/>
  <c r="G603" i="5" s="1"/>
  <c r="H604" i="5"/>
  <c r="AB604" i="5"/>
  <c r="V607" i="5"/>
  <c r="G607" i="5" s="1"/>
  <c r="AB608"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84" i="5"/>
  <c r="E598" i="5"/>
  <c r="X598" i="5" s="1"/>
  <c r="I600" i="5"/>
  <c r="I604" i="5"/>
  <c r="E606" i="5"/>
  <c r="X606" i="5" s="1"/>
  <c r="E610" i="5"/>
  <c r="X610" i="5" s="1"/>
  <c r="I612" i="5"/>
  <c r="E614" i="5"/>
  <c r="X614" i="5" s="1"/>
  <c r="T614" i="5"/>
  <c r="I616" i="5"/>
  <c r="E618" i="5"/>
  <c r="X618" i="5" s="1"/>
  <c r="T618" i="5"/>
  <c r="I620" i="5"/>
  <c r="E622" i="5"/>
  <c r="X622" i="5" s="1"/>
  <c r="T622" i="5"/>
  <c r="I624" i="5"/>
  <c r="E626" i="5"/>
  <c r="X626" i="5" s="1"/>
  <c r="T626" i="5"/>
  <c r="I628" i="5"/>
  <c r="E630" i="5"/>
  <c r="X630" i="5" s="1"/>
  <c r="T630" i="5"/>
  <c r="T634" i="5"/>
  <c r="I636" i="5"/>
  <c r="E638" i="5"/>
  <c r="X638" i="5" s="1"/>
  <c r="T638" i="5"/>
  <c r="E642" i="5"/>
  <c r="X642" i="5" s="1"/>
  <c r="T642" i="5"/>
  <c r="E646" i="5"/>
  <c r="X646" i="5" s="1"/>
  <c r="T646" i="5"/>
  <c r="T650" i="5"/>
  <c r="I652" i="5"/>
  <c r="T654" i="5"/>
  <c r="I656" i="5"/>
  <c r="T658" i="5"/>
  <c r="I660" i="5"/>
  <c r="T662" i="5"/>
  <c r="T666" i="5"/>
  <c r="T670" i="5"/>
  <c r="T674" i="5"/>
  <c r="AB681" i="5"/>
  <c r="S683" i="5"/>
  <c r="AB686" i="5"/>
  <c r="G686" i="5"/>
  <c r="J688" i="5"/>
  <c r="J689" i="5"/>
  <c r="F691" i="5"/>
  <c r="S693" i="5"/>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S673" i="5"/>
  <c r="J676" i="5"/>
  <c r="S677" i="5"/>
  <c r="F681" i="5"/>
  <c r="E681" i="5"/>
  <c r="X681" i="5" s="1"/>
  <c r="I681" i="5"/>
  <c r="J683" i="5"/>
  <c r="I683" i="5"/>
  <c r="E683" i="5"/>
  <c r="X683" i="5" s="1"/>
  <c r="AB687" i="5"/>
  <c r="G691"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AB747" i="5"/>
  <c r="R748" i="5"/>
  <c r="H748" i="5"/>
  <c r="H769" i="5"/>
  <c r="F769" i="5"/>
  <c r="E769" i="5"/>
  <c r="X769" i="5" s="1"/>
  <c r="J769" i="5"/>
  <c r="I769" i="5"/>
  <c r="H785" i="5"/>
  <c r="F785" i="5"/>
  <c r="E785" i="5"/>
  <c r="X785" i="5" s="1"/>
  <c r="J785" i="5"/>
  <c r="I785" i="5"/>
  <c r="J791" i="5"/>
  <c r="I791" i="5"/>
  <c r="H791" i="5"/>
  <c r="F791" i="5"/>
  <c r="E791" i="5"/>
  <c r="X791" i="5" s="1"/>
  <c r="J799" i="5"/>
  <c r="AB682" i="5"/>
  <c r="G682" i="5"/>
  <c r="AB693"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V601" i="5"/>
  <c r="G601" i="5" s="1"/>
  <c r="S604" i="5"/>
  <c r="V605" i="5"/>
  <c r="H606"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S652" i="5"/>
  <c r="V653" i="5"/>
  <c r="H654" i="5"/>
  <c r="S656" i="5"/>
  <c r="V657" i="5"/>
  <c r="H658" i="5"/>
  <c r="S660" i="5"/>
  <c r="V661" i="5"/>
  <c r="G661" i="5" s="1"/>
  <c r="S664" i="5"/>
  <c r="V665" i="5"/>
  <c r="G665" i="5" s="1"/>
  <c r="H666" i="5"/>
  <c r="S668" i="5"/>
  <c r="V669" i="5"/>
  <c r="G669" i="5" s="1"/>
  <c r="S672" i="5"/>
  <c r="V673" i="5"/>
  <c r="G673" i="5" s="1"/>
  <c r="H674" i="5"/>
  <c r="S676" i="5"/>
  <c r="V677" i="5"/>
  <c r="G677" i="5" s="1"/>
  <c r="H681" i="5"/>
  <c r="AB683" i="5"/>
  <c r="F692" i="5"/>
  <c r="F693" i="5"/>
  <c r="E693" i="5"/>
  <c r="X693" i="5" s="1"/>
  <c r="I693" i="5"/>
  <c r="H694" i="5"/>
  <c r="R694" i="5"/>
  <c r="V695" i="5"/>
  <c r="G695" i="5" s="1"/>
  <c r="H697" i="5"/>
  <c r="AB699" i="5"/>
  <c r="S707" i="5"/>
  <c r="R709" i="5"/>
  <c r="H711" i="5"/>
  <c r="G713" i="5"/>
  <c r="E714" i="5"/>
  <c r="X714" i="5" s="1"/>
  <c r="J715" i="5"/>
  <c r="I715" i="5"/>
  <c r="F715" i="5"/>
  <c r="E715" i="5"/>
  <c r="X715" i="5" s="1"/>
  <c r="AB719"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6" i="5"/>
  <c r="I610" i="5"/>
  <c r="I614" i="5"/>
  <c r="I618" i="5"/>
  <c r="I622" i="5"/>
  <c r="I626" i="5"/>
  <c r="I630" i="5"/>
  <c r="I638" i="5"/>
  <c r="I642" i="5"/>
  <c r="I646" i="5"/>
  <c r="J681" i="5"/>
  <c r="F683" i="5"/>
  <c r="S685" i="5"/>
  <c r="E688" i="5"/>
  <c r="X688" i="5" s="1"/>
  <c r="AB689" i="5"/>
  <c r="S691" i="5"/>
  <c r="H692" i="5"/>
  <c r="G693" i="5"/>
  <c r="AB694" i="5"/>
  <c r="G694" i="5"/>
  <c r="J697" i="5"/>
  <c r="F699" i="5"/>
  <c r="S701" i="5"/>
  <c r="E704" i="5"/>
  <c r="X704" i="5" s="1"/>
  <c r="AB705" i="5"/>
  <c r="S709" i="5"/>
  <c r="R711" i="5"/>
  <c r="H713" i="5"/>
  <c r="F714" i="5"/>
  <c r="G715" i="5"/>
  <c r="E716" i="5"/>
  <c r="X716"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T598" i="5" s="1"/>
  <c r="J606" i="5"/>
  <c r="T606" i="5" s="1"/>
  <c r="J610" i="5"/>
  <c r="T610" i="5" s="1"/>
  <c r="J614" i="5"/>
  <c r="J618" i="5"/>
  <c r="J622" i="5"/>
  <c r="J626" i="5"/>
  <c r="J630"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H777" i="5"/>
  <c r="F777" i="5"/>
  <c r="E777" i="5"/>
  <c r="X777" i="5" s="1"/>
  <c r="J777" i="5"/>
  <c r="I777" i="5"/>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8" i="5"/>
  <c r="G692" i="5"/>
  <c r="G700" i="5"/>
  <c r="G704" i="5"/>
  <c r="G708" i="5"/>
  <c r="G716" i="5"/>
  <c r="G724" i="5"/>
  <c r="G728" i="5"/>
  <c r="G732" i="5"/>
  <c r="G736" i="5"/>
  <c r="G740" i="5"/>
  <c r="G744" i="5"/>
  <c r="G748" i="5"/>
  <c r="G756" i="5"/>
  <c r="R758" i="5"/>
  <c r="G760"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AB830" i="5"/>
  <c r="G831" i="5"/>
  <c r="V833" i="5"/>
  <c r="G833" i="5" s="1"/>
  <c r="V841" i="5"/>
  <c r="G841" i="5" s="1"/>
  <c r="V849" i="5"/>
  <c r="G849" i="5" s="1"/>
  <c r="H856" i="5"/>
  <c r="G860" i="5"/>
  <c r="AB860" i="5"/>
  <c r="AB861" i="5"/>
  <c r="G864" i="5"/>
  <c r="AB864" i="5"/>
  <c r="F873" i="5"/>
  <c r="S877"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R843" i="5"/>
  <c r="J843" i="5"/>
  <c r="I843" i="5"/>
  <c r="E843" i="5"/>
  <c r="X843" i="5" s="1"/>
  <c r="E844" i="5"/>
  <c r="X844" i="5" s="1"/>
  <c r="R844" i="5"/>
  <c r="I844" i="5"/>
  <c r="G844" i="5"/>
  <c r="J851" i="5"/>
  <c r="E851" i="5"/>
  <c r="X851" i="5" s="1"/>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8"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V839" i="5"/>
  <c r="G839" i="5" s="1"/>
  <c r="E840" i="5"/>
  <c r="X840" i="5" s="1"/>
  <c r="R840" i="5"/>
  <c r="I840" i="5"/>
  <c r="G840" i="5"/>
  <c r="G843" i="5"/>
  <c r="F844" i="5"/>
  <c r="V847" i="5"/>
  <c r="G847" i="5" s="1"/>
  <c r="E848" i="5"/>
  <c r="X848" i="5" s="1"/>
  <c r="R848" i="5"/>
  <c r="I848" i="5"/>
  <c r="G848"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V944" i="5"/>
  <c r="G944" i="5" s="1"/>
  <c r="G945" i="5"/>
  <c r="E948" i="5"/>
  <c r="X948" i="5" s="1"/>
  <c r="R948" i="5"/>
  <c r="AB957" i="5"/>
  <c r="T957" i="5"/>
  <c r="S965" i="5"/>
  <c r="R966" i="5"/>
  <c r="J966" i="5"/>
  <c r="I966" i="5"/>
  <c r="F966" i="5"/>
  <c r="I969" i="5"/>
  <c r="H969" i="5"/>
  <c r="E969" i="5"/>
  <c r="X969" i="5" s="1"/>
  <c r="I973" i="5"/>
  <c r="H973" i="5"/>
  <c r="E973" i="5"/>
  <c r="X973" i="5" s="1"/>
  <c r="R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G1093" i="5"/>
  <c r="F1094" i="5"/>
  <c r="R1102" i="5"/>
  <c r="J1102" i="5"/>
  <c r="I1102" i="5"/>
  <c r="G1109"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V1311" i="5"/>
  <c r="R1312" i="5"/>
  <c r="J1312" i="5"/>
  <c r="I1312" i="5"/>
  <c r="G1312" i="5"/>
  <c r="F1312" i="5"/>
  <c r="E1312" i="5"/>
  <c r="X1312" i="5" s="1"/>
  <c r="V1315" i="5"/>
  <c r="G1315" i="5" s="1"/>
  <c r="R1316" i="5"/>
  <c r="J1316" i="5"/>
  <c r="I1316" i="5"/>
  <c r="G1316" i="5"/>
  <c r="F1316" i="5"/>
  <c r="E1316" i="5"/>
  <c r="X1316" i="5" s="1"/>
  <c r="V1319" i="5"/>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6" i="5"/>
  <c r="G990" i="5"/>
  <c r="I991" i="5"/>
  <c r="G994" i="5"/>
  <c r="I995" i="5"/>
  <c r="G998" i="5"/>
  <c r="I999" i="5"/>
  <c r="G1002" i="5"/>
  <c r="G1006" i="5"/>
  <c r="G1010" i="5"/>
  <c r="I1011" i="5"/>
  <c r="G1014" i="5"/>
  <c r="G1018" i="5"/>
  <c r="I1019" i="5"/>
  <c r="G1022" i="5"/>
  <c r="I1023" i="5"/>
  <c r="G1026" i="5"/>
  <c r="I1027" i="5"/>
  <c r="G1030" i="5"/>
  <c r="I1031" i="5"/>
  <c r="G1034" i="5"/>
  <c r="G1038" i="5"/>
  <c r="G1042" i="5"/>
  <c r="I1043" i="5"/>
  <c r="G1046" i="5"/>
  <c r="I1047" i="5"/>
  <c r="G1050" i="5"/>
  <c r="G1054" i="5"/>
  <c r="G1058" i="5"/>
  <c r="I1059" i="5"/>
  <c r="G1062" i="5"/>
  <c r="I1063" i="5"/>
  <c r="G1066" i="5"/>
  <c r="G1070" i="5"/>
  <c r="I1071" i="5"/>
  <c r="I1075" i="5"/>
  <c r="G1078" i="5"/>
  <c r="I1079" i="5"/>
  <c r="G1082" i="5"/>
  <c r="I1083" i="5"/>
  <c r="I1087" i="5"/>
  <c r="G1090" i="5"/>
  <c r="I1091" i="5"/>
  <c r="G1094" i="5"/>
  <c r="G1098" i="5"/>
  <c r="I1099" i="5"/>
  <c r="G1102" i="5"/>
  <c r="I1103" i="5"/>
  <c r="G1106" i="5"/>
  <c r="I1111" i="5"/>
  <c r="G1114" i="5"/>
  <c r="G1118" i="5"/>
  <c r="I1119" i="5"/>
  <c r="G1122" i="5"/>
  <c r="G1126" i="5"/>
  <c r="I1127" i="5"/>
  <c r="G1130"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V1207" i="5"/>
  <c r="G1207" i="5" s="1"/>
  <c r="F1214" i="5"/>
  <c r="E1214" i="5"/>
  <c r="X1214" i="5" s="1"/>
  <c r="I1218" i="5"/>
  <c r="AB1224" i="5"/>
  <c r="J1225" i="5"/>
  <c r="AB1227" i="5"/>
  <c r="T1227" i="5"/>
  <c r="G1236" i="5"/>
  <c r="V1239" i="5"/>
  <c r="G1239" i="5" s="1"/>
  <c r="F1241" i="5"/>
  <c r="F1246" i="5"/>
  <c r="E1246" i="5"/>
  <c r="X1246" i="5" s="1"/>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V1134" i="5"/>
  <c r="G1143" i="5"/>
  <c r="V1150" i="5"/>
  <c r="G1150" i="5" s="1"/>
  <c r="S1159" i="5"/>
  <c r="G1165" i="5"/>
  <c r="S1166" i="5"/>
  <c r="J1169" i="5"/>
  <c r="AB1171" i="5"/>
  <c r="T1171" i="5"/>
  <c r="H1182" i="5"/>
  <c r="V1183" i="5"/>
  <c r="G1183" i="5" s="1"/>
  <c r="S1184" i="5"/>
  <c r="S1191" i="5"/>
  <c r="G1197" i="5"/>
  <c r="S1198" i="5"/>
  <c r="J1201" i="5"/>
  <c r="AB1203" i="5"/>
  <c r="T1203" i="5"/>
  <c r="H1214" i="5"/>
  <c r="V1215" i="5"/>
  <c r="S1216" i="5"/>
  <c r="S1223" i="5"/>
  <c r="G1229" i="5"/>
  <c r="S1230"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3" i="5"/>
  <c r="E1357" i="5"/>
  <c r="X1357" i="5" s="1"/>
  <c r="I1357" i="5"/>
  <c r="H1357" i="5"/>
  <c r="G1357" i="5"/>
  <c r="F1357" i="5"/>
  <c r="I1367" i="5"/>
  <c r="H1367" i="5"/>
  <c r="E1367" i="5"/>
  <c r="X1367" i="5" s="1"/>
  <c r="R1367" i="5"/>
  <c r="J1367" i="5"/>
  <c r="G1372" i="5"/>
  <c r="G1383"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V1159" i="5"/>
  <c r="G1159" i="5" s="1"/>
  <c r="S1160" i="5"/>
  <c r="F1161" i="5"/>
  <c r="I1165" i="5"/>
  <c r="F1166" i="5"/>
  <c r="E1166" i="5"/>
  <c r="X1166" i="5" s="1"/>
  <c r="AB1166" i="5"/>
  <c r="G1173" i="5"/>
  <c r="S1174" i="5"/>
  <c r="G1178" i="5"/>
  <c r="AB1179" i="5"/>
  <c r="T1179" i="5"/>
  <c r="J1182" i="5"/>
  <c r="H1190" i="5"/>
  <c r="V1191" i="5"/>
  <c r="S1192" i="5"/>
  <c r="I1197" i="5"/>
  <c r="F1198" i="5"/>
  <c r="AB1198" i="5"/>
  <c r="G1205" i="5"/>
  <c r="S1206" i="5"/>
  <c r="G1210" i="5"/>
  <c r="AB1211" i="5"/>
  <c r="T1211" i="5"/>
  <c r="J1214"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R1289" i="5"/>
  <c r="E1293" i="5"/>
  <c r="X1293" i="5" s="1"/>
  <c r="R1293" i="5"/>
  <c r="E1301" i="5"/>
  <c r="X1301" i="5" s="1"/>
  <c r="R1301" i="5"/>
  <c r="E1305" i="5"/>
  <c r="X1305" i="5" s="1"/>
  <c r="R1305" i="5"/>
  <c r="E1309" i="5"/>
  <c r="X1309" i="5" s="1"/>
  <c r="R1309" i="5"/>
  <c r="E1321" i="5"/>
  <c r="X1321" i="5" s="1"/>
  <c r="R1321"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G1672" i="5"/>
  <c r="AB1698" i="5"/>
  <c r="T1698" i="5"/>
  <c r="S1698" i="5"/>
  <c r="V2455" i="5"/>
  <c r="G2455" i="5" s="1"/>
  <c r="T2470" i="5"/>
  <c r="AB2470" i="5"/>
  <c r="S2470" i="5"/>
  <c r="V1405" i="5"/>
  <c r="J1406" i="5"/>
  <c r="V1413" i="5"/>
  <c r="G1413" i="5" s="1"/>
  <c r="J1414" i="5"/>
  <c r="V1421" i="5"/>
  <c r="J1422" i="5"/>
  <c r="E1423" i="5"/>
  <c r="X1423" i="5" s="1"/>
  <c r="AB1423" i="5"/>
  <c r="V1429" i="5"/>
  <c r="G1429" i="5" s="1"/>
  <c r="J1430" i="5"/>
  <c r="E1431" i="5"/>
  <c r="X1431" i="5" s="1"/>
  <c r="AB1431" i="5"/>
  <c r="V1437"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G1511" i="5"/>
  <c r="F1511" i="5"/>
  <c r="R1511" i="5"/>
  <c r="AB1512" i="5"/>
  <c r="T1512" i="5"/>
  <c r="G1513" i="5"/>
  <c r="AB1517" i="5"/>
  <c r="T1518" i="5"/>
  <c r="S1518" i="5"/>
  <c r="AB1518"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11" i="5"/>
  <c r="R1411" i="5"/>
  <c r="F1419" i="5"/>
  <c r="R1419" i="5"/>
  <c r="I1423" i="5"/>
  <c r="F1427" i="5"/>
  <c r="R1427" i="5"/>
  <c r="I1431"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AB1403" i="5"/>
  <c r="E1406" i="5"/>
  <c r="X1406" i="5" s="1"/>
  <c r="V1409" i="5"/>
  <c r="E1411" i="5"/>
  <c r="X1411" i="5" s="1"/>
  <c r="AB1411" i="5"/>
  <c r="E1414" i="5"/>
  <c r="X1414" i="5" s="1"/>
  <c r="V1417" i="5"/>
  <c r="E1419" i="5"/>
  <c r="X1419" i="5" s="1"/>
  <c r="AB1419" i="5"/>
  <c r="E1422" i="5"/>
  <c r="X1422" i="5" s="1"/>
  <c r="J1423" i="5"/>
  <c r="V1425" i="5"/>
  <c r="G1425" i="5" s="1"/>
  <c r="E1427" i="5"/>
  <c r="X1427" i="5" s="1"/>
  <c r="AB1427" i="5"/>
  <c r="E1430" i="5"/>
  <c r="X1430" i="5" s="1"/>
  <c r="J1431" i="5"/>
  <c r="V1433" i="5"/>
  <c r="G1433" i="5" s="1"/>
  <c r="E1435" i="5"/>
  <c r="X1435" i="5" s="1"/>
  <c r="AB1435" i="5"/>
  <c r="J1439" i="5"/>
  <c r="R1448" i="5"/>
  <c r="R1449" i="5"/>
  <c r="G1450" i="5"/>
  <c r="F1451" i="5"/>
  <c r="R1451" i="5"/>
  <c r="H1454" i="5"/>
  <c r="E1455" i="5"/>
  <c r="X1455" i="5" s="1"/>
  <c r="AB1460" i="5"/>
  <c r="T1460" i="5"/>
  <c r="AB1461"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AB1619" i="5"/>
  <c r="AB1623" i="5"/>
  <c r="AB1638" i="5"/>
  <c r="T1638" i="5"/>
  <c r="S1638" i="5"/>
  <c r="V1651" i="5"/>
  <c r="AB1655" i="5"/>
  <c r="AB1670" i="5"/>
  <c r="T1670" i="5"/>
  <c r="S1670" i="5"/>
  <c r="E1676" i="5"/>
  <c r="X1676" i="5" s="1"/>
  <c r="R1676" i="5"/>
  <c r="J1676" i="5"/>
  <c r="I1676" i="5"/>
  <c r="H1676" i="5"/>
  <c r="V1683" i="5"/>
  <c r="G1683" i="5" s="1"/>
  <c r="AB1687" i="5"/>
  <c r="AB1702" i="5"/>
  <c r="T1702" i="5"/>
  <c r="S1702"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81" i="5"/>
  <c r="F1585" i="5"/>
  <c r="F1589" i="5"/>
  <c r="F1593" i="5"/>
  <c r="F1597" i="5"/>
  <c r="F1601" i="5"/>
  <c r="F1605" i="5"/>
  <c r="F1613" i="5"/>
  <c r="F1617" i="5"/>
  <c r="F1621" i="5"/>
  <c r="S1627" i="5"/>
  <c r="AB1631" i="5"/>
  <c r="F1636" i="5"/>
  <c r="AB1646" i="5"/>
  <c r="T1646" i="5"/>
  <c r="S1646" i="5"/>
  <c r="J1652" i="5"/>
  <c r="V1659" i="5"/>
  <c r="AB1663" i="5"/>
  <c r="AB1678" i="5"/>
  <c r="T1678" i="5"/>
  <c r="S1678" i="5"/>
  <c r="V1691" i="5"/>
  <c r="G1691" i="5" s="1"/>
  <c r="AB1695" i="5"/>
  <c r="AB1710" i="5"/>
  <c r="T1710" i="5"/>
  <c r="S1710" i="5"/>
  <c r="V1723" i="5"/>
  <c r="G1723" i="5" s="1"/>
  <c r="AB1727" i="5"/>
  <c r="V1736" i="5"/>
  <c r="V1760" i="5"/>
  <c r="G1760" i="5" s="1"/>
  <c r="T1546" i="5"/>
  <c r="AB1550" i="5"/>
  <c r="T1551" i="5"/>
  <c r="H1553" i="5"/>
  <c r="G1557" i="5"/>
  <c r="G1561" i="5"/>
  <c r="G1565" i="5"/>
  <c r="G1569" i="5"/>
  <c r="G1573" i="5"/>
  <c r="G1581" i="5"/>
  <c r="G1585" i="5"/>
  <c r="G1589"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81" i="5"/>
  <c r="H1585" i="5"/>
  <c r="H1589" i="5"/>
  <c r="H1597" i="5"/>
  <c r="H1601" i="5"/>
  <c r="H1605" i="5"/>
  <c r="H1609" i="5"/>
  <c r="H1613" i="5"/>
  <c r="H1617" i="5"/>
  <c r="H1621" i="5"/>
  <c r="V1635" i="5"/>
  <c r="G1635" i="5" s="1"/>
  <c r="AB1654" i="5"/>
  <c r="T1654" i="5"/>
  <c r="S1654" i="5"/>
  <c r="V1667" i="5"/>
  <c r="G1667" i="5" s="1"/>
  <c r="F1676" i="5"/>
  <c r="AB1686" i="5"/>
  <c r="T1686" i="5"/>
  <c r="S1686" i="5"/>
  <c r="E1692" i="5"/>
  <c r="X1692" i="5" s="1"/>
  <c r="R1692" i="5"/>
  <c r="J1692" i="5"/>
  <c r="I1692" i="5"/>
  <c r="H1692" i="5"/>
  <c r="V1699" i="5"/>
  <c r="G1699" i="5" s="1"/>
  <c r="AB1718" i="5"/>
  <c r="T1718" i="5"/>
  <c r="S1718"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AB1658" i="5"/>
  <c r="T1658" i="5"/>
  <c r="S1658" i="5"/>
  <c r="E1664" i="5"/>
  <c r="X1664" i="5" s="1"/>
  <c r="V1671" i="5"/>
  <c r="G1671" i="5" s="1"/>
  <c r="AB1675" i="5"/>
  <c r="G1676" i="5"/>
  <c r="AB1690" i="5"/>
  <c r="T1690" i="5"/>
  <c r="S1690" i="5"/>
  <c r="V1703" i="5"/>
  <c r="G1703" i="5" s="1"/>
  <c r="AB1707"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E1581" i="5"/>
  <c r="X1581" i="5" s="1"/>
  <c r="R1581" i="5"/>
  <c r="J1581" i="5"/>
  <c r="E1585" i="5"/>
  <c r="X1585" i="5" s="1"/>
  <c r="R1585" i="5"/>
  <c r="J1585" i="5"/>
  <c r="E1589" i="5"/>
  <c r="X1589" i="5" s="1"/>
  <c r="R1589" i="5"/>
  <c r="J1589" i="5"/>
  <c r="E1597" i="5"/>
  <c r="X1597" i="5" s="1"/>
  <c r="R1597" i="5"/>
  <c r="J1597" i="5"/>
  <c r="E1601" i="5"/>
  <c r="X1601" i="5" s="1"/>
  <c r="R1601" i="5"/>
  <c r="J1601" i="5"/>
  <c r="E1605" i="5"/>
  <c r="X1605" i="5" s="1"/>
  <c r="R1605" i="5"/>
  <c r="J1605"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V1675" i="5"/>
  <c r="G1675" i="5" s="1"/>
  <c r="AB1679" i="5"/>
  <c r="AB1694" i="5"/>
  <c r="T1694" i="5"/>
  <c r="S1694"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7" i="5"/>
  <c r="R1645" i="5"/>
  <c r="R1649" i="5"/>
  <c r="R1661" i="5"/>
  <c r="R1677" i="5"/>
  <c r="R1681" i="5"/>
  <c r="R1685" i="5"/>
  <c r="R1689" i="5"/>
  <c r="R1701" i="5"/>
  <c r="R1705" i="5"/>
  <c r="R1709" i="5"/>
  <c r="R1717" i="5"/>
  <c r="R1721"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H1782" i="5"/>
  <c r="E1785" i="5"/>
  <c r="X1785" i="5" s="1"/>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J1900" i="5"/>
  <c r="T1908" i="5"/>
  <c r="S1908" i="5"/>
  <c r="T1912" i="5"/>
  <c r="S1912" i="5"/>
  <c r="T1916" i="5"/>
  <c r="S1916" i="5"/>
  <c r="T1920" i="5"/>
  <c r="S1920" i="5"/>
  <c r="T1924" i="5"/>
  <c r="S1924" i="5"/>
  <c r="AB1924" i="5"/>
  <c r="V1942" i="5"/>
  <c r="T1945" i="5"/>
  <c r="S1945"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V1946" i="5"/>
  <c r="T1949" i="5"/>
  <c r="S1949"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20" i="5"/>
  <c r="J2024" i="5"/>
  <c r="J2028" i="5"/>
  <c r="J2032" i="5"/>
  <c r="J2036" i="5"/>
  <c r="J2040" i="5"/>
  <c r="J2048" i="5"/>
  <c r="V2049" i="5"/>
  <c r="G2049" i="5" s="1"/>
  <c r="H2053" i="5"/>
  <c r="V2054" i="5"/>
  <c r="G2054" i="5" s="1"/>
  <c r="S2055" i="5"/>
  <c r="G2056" i="5"/>
  <c r="T2057" i="5"/>
  <c r="S2057" i="5"/>
  <c r="H2061" i="5"/>
  <c r="V2062" i="5"/>
  <c r="G2062" i="5" s="1"/>
  <c r="S2063" i="5"/>
  <c r="G2064" i="5"/>
  <c r="T2065" i="5"/>
  <c r="S2065" i="5"/>
  <c r="V2070" i="5"/>
  <c r="G2070" i="5" s="1"/>
  <c r="S2071" i="5"/>
  <c r="G2072" i="5"/>
  <c r="T2073" i="5"/>
  <c r="S2073"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20" i="5"/>
  <c r="R2024" i="5"/>
  <c r="R2028" i="5"/>
  <c r="R2032" i="5"/>
  <c r="R2036" i="5"/>
  <c r="R2040" i="5"/>
  <c r="R2048" i="5"/>
  <c r="V2052" i="5"/>
  <c r="I2053" i="5"/>
  <c r="T2055" i="5"/>
  <c r="V2060" i="5"/>
  <c r="I2061" i="5"/>
  <c r="T2063" i="5"/>
  <c r="V2068" i="5"/>
  <c r="T2071" i="5"/>
  <c r="V2076"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V2071"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G2013" i="5"/>
  <c r="G2017" i="5"/>
  <c r="E2020" i="5"/>
  <c r="X2020" i="5" s="1"/>
  <c r="G2021" i="5"/>
  <c r="E2024" i="5"/>
  <c r="X2024" i="5" s="1"/>
  <c r="G2025" i="5"/>
  <c r="E2028" i="5"/>
  <c r="X2028" i="5" s="1"/>
  <c r="G2029" i="5"/>
  <c r="E2032" i="5"/>
  <c r="X2032" i="5" s="1"/>
  <c r="G2033" i="5"/>
  <c r="E2036" i="5"/>
  <c r="X2036" i="5" s="1"/>
  <c r="G2037" i="5"/>
  <c r="E2040" i="5"/>
  <c r="X2040" i="5" s="1"/>
  <c r="G2041" i="5"/>
  <c r="G2045" i="5"/>
  <c r="E2048" i="5"/>
  <c r="X2048" i="5" s="1"/>
  <c r="R2053" i="5"/>
  <c r="G2057" i="5"/>
  <c r="R2061"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J2157" i="5"/>
  <c r="J2162" i="5"/>
  <c r="G2174" i="5"/>
  <c r="F2174" i="5"/>
  <c r="E2174" i="5"/>
  <c r="X2174" i="5" s="1"/>
  <c r="AB2178" i="5"/>
  <c r="T2178" i="5"/>
  <c r="S2178"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S2167"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V2136" i="5"/>
  <c r="S2139" i="5"/>
  <c r="I2142" i="5"/>
  <c r="H2145" i="5"/>
  <c r="H2146" i="5"/>
  <c r="G2150" i="5"/>
  <c r="F2150" i="5"/>
  <c r="E2150" i="5"/>
  <c r="X2150" i="5" s="1"/>
  <c r="T2154" i="5"/>
  <c r="S2154" i="5"/>
  <c r="V2155" i="5"/>
  <c r="G2155" i="5" s="1"/>
  <c r="AB2159" i="5"/>
  <c r="AB2164"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T2158" i="5"/>
  <c r="S2158" i="5"/>
  <c r="V2159" i="5"/>
  <c r="G2159" i="5" s="1"/>
  <c r="AB2163" i="5"/>
  <c r="AB2168" i="5"/>
  <c r="E2169" i="5"/>
  <c r="X2169" i="5" s="1"/>
  <c r="R2169" i="5"/>
  <c r="J2169" i="5"/>
  <c r="V2172" i="5"/>
  <c r="G2172" i="5" s="1"/>
  <c r="J2174" i="5"/>
  <c r="J2178" i="5"/>
  <c r="AB2183" i="5"/>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R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5" i="5"/>
  <c r="J2189" i="5"/>
  <c r="AB2199" i="5"/>
  <c r="T2199" i="5"/>
  <c r="E2199" i="5"/>
  <c r="X2199" i="5" s="1"/>
  <c r="AB2207" i="5"/>
  <c r="T2207" i="5"/>
  <c r="H2207" i="5"/>
  <c r="E2207" i="5"/>
  <c r="X2207" i="5" s="1"/>
  <c r="AB2215" i="5"/>
  <c r="T2215" i="5"/>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8" i="5"/>
  <c r="R2218" i="5"/>
  <c r="G2224" i="5"/>
  <c r="AB2224" i="5"/>
  <c r="E2225" i="5"/>
  <c r="X2225" i="5" s="1"/>
  <c r="I2225" i="5"/>
  <c r="AB2231" i="5"/>
  <c r="T2231"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J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I2233" i="5"/>
  <c r="G2236" i="5"/>
  <c r="I2237" i="5"/>
  <c r="G2240" i="5"/>
  <c r="G2244" i="5"/>
  <c r="G2248" i="5"/>
  <c r="G2252" i="5"/>
  <c r="G2256" i="5"/>
  <c r="G2260" i="5"/>
  <c r="G2264" i="5"/>
  <c r="J2273" i="5"/>
  <c r="V2276" i="5"/>
  <c r="T2278" i="5"/>
  <c r="AB2278" i="5"/>
  <c r="H2282" i="5"/>
  <c r="V2283" i="5"/>
  <c r="G2291" i="5"/>
  <c r="G2294" i="5"/>
  <c r="G2295" i="5"/>
  <c r="G2299" i="5"/>
  <c r="F2303" i="5"/>
  <c r="R2305" i="5"/>
  <c r="I2305" i="5"/>
  <c r="G2305" i="5"/>
  <c r="G2312" i="5"/>
  <c r="AB2315"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E2294" i="5"/>
  <c r="X2294" i="5" s="1"/>
  <c r="R2294" i="5"/>
  <c r="E2303" i="5"/>
  <c r="X2303" i="5" s="1"/>
  <c r="R2303" i="5"/>
  <c r="H2306" i="5"/>
  <c r="H2308"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T2335" i="5"/>
  <c r="R2338" i="5"/>
  <c r="T2339" i="5"/>
  <c r="R2342" i="5"/>
  <c r="T2343" i="5"/>
  <c r="R2346" i="5"/>
  <c r="T2347" i="5"/>
  <c r="R2350" i="5"/>
  <c r="G2356" i="5"/>
  <c r="AB2362" i="5"/>
  <c r="T2362" i="5"/>
  <c r="AB2370" i="5"/>
  <c r="T2370" i="5"/>
  <c r="AB2378" i="5"/>
  <c r="T2378" i="5"/>
  <c r="G2388" i="5"/>
  <c r="I2395" i="5"/>
  <c r="H2395" i="5"/>
  <c r="J2395" i="5"/>
  <c r="F2395" i="5"/>
  <c r="E2395" i="5"/>
  <c r="X2395" i="5" s="1"/>
  <c r="R2412" i="5"/>
  <c r="J2412" i="5"/>
  <c r="I2412" i="5"/>
  <c r="H2412" i="5"/>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61" i="5"/>
  <c r="V2463" i="5"/>
  <c r="G2463" i="5" s="1"/>
  <c r="J2469" i="5"/>
  <c r="V2471" i="5"/>
  <c r="G2482" i="5"/>
  <c r="G2488"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491" i="5"/>
  <c r="T373" i="5"/>
  <c r="T337" i="5"/>
  <c r="T437" i="5"/>
  <c r="T349" i="5"/>
  <c r="T433" i="5"/>
  <c r="S511" i="5"/>
  <c r="T384" i="5"/>
  <c r="T377" i="5"/>
  <c r="T295" i="5"/>
  <c r="S344" i="5"/>
  <c r="S397" i="5"/>
  <c r="T317" i="5"/>
  <c r="S401" i="5"/>
  <c r="S409" i="5"/>
  <c r="S372" i="5"/>
  <c r="T396" i="5"/>
  <c r="S437" i="5"/>
  <c r="T520" i="5"/>
  <c r="S428" i="5"/>
  <c r="S452" i="5"/>
  <c r="T500" i="5"/>
  <c r="T516" i="5"/>
  <c r="S548" i="5"/>
  <c r="T560" i="5"/>
  <c r="T535" i="5"/>
  <c r="T555" i="5"/>
  <c r="T482" i="5"/>
  <c r="S377" i="5"/>
  <c r="T401" i="5"/>
  <c r="T457" i="5"/>
  <c r="S349" i="5"/>
  <c r="T441" i="5"/>
  <c r="S539" i="5"/>
  <c r="T327" i="5"/>
  <c r="S361" i="5"/>
  <c r="T313" i="5"/>
  <c r="T332" i="5"/>
  <c r="T471" i="5"/>
  <c r="T388" i="5"/>
  <c r="T459" i="5"/>
  <c r="T376" i="5"/>
  <c r="T318" i="5"/>
  <c r="T363" i="5"/>
  <c r="T400" i="5"/>
  <c r="S417" i="5"/>
  <c r="T448" i="5"/>
  <c r="T556" i="5"/>
  <c r="S432" i="5"/>
  <c r="T455" i="5"/>
  <c r="S560" i="5"/>
  <c r="T491" i="5"/>
  <c r="T540" i="5"/>
  <c r="S510" i="5"/>
  <c r="T405" i="5"/>
  <c r="S341" i="5"/>
  <c r="T417" i="5"/>
  <c r="T294" i="5"/>
  <c r="T335" i="5"/>
  <c r="S388" i="5"/>
  <c r="T399" i="5"/>
  <c r="T464" i="5"/>
  <c r="T356" i="5"/>
  <c r="T483" i="5"/>
  <c r="T542" i="5"/>
  <c r="T336" i="5"/>
  <c r="S429" i="5"/>
  <c r="S449" i="5"/>
  <c r="S457" i="5"/>
  <c r="T488" i="5"/>
  <c r="T536" i="5"/>
  <c r="T572" i="5"/>
  <c r="S436" i="5"/>
  <c r="T461" i="5"/>
  <c r="T420" i="5"/>
  <c r="T440" i="5"/>
  <c r="T568" i="5"/>
  <c r="T470" i="5"/>
  <c r="T563" i="5"/>
  <c r="T498" i="5"/>
  <c r="T341" i="5"/>
  <c r="T331" i="5"/>
  <c r="T361" i="5"/>
  <c r="T322" i="5"/>
  <c r="T368" i="5"/>
  <c r="S416" i="5"/>
  <c r="T387" i="5"/>
  <c r="T408" i="5"/>
  <c r="S441" i="5"/>
  <c r="S572" i="5"/>
  <c r="S440" i="5"/>
  <c r="T586" i="5"/>
  <c r="T551" i="5"/>
  <c r="S568" i="5"/>
  <c r="T539" i="5"/>
  <c r="T552" i="5"/>
  <c r="T519" i="5"/>
  <c r="S468" i="5"/>
  <c r="T594" i="5"/>
  <c r="T338" i="5"/>
  <c r="T413" i="5"/>
  <c r="T415" i="5"/>
  <c r="S543" i="5"/>
  <c r="T371" i="5"/>
  <c r="S408" i="5"/>
  <c r="T321" i="5"/>
  <c r="S352" i="5"/>
  <c r="S389" i="5"/>
  <c r="T347" i="5"/>
  <c r="T325" i="5"/>
  <c r="S404" i="5"/>
  <c r="T364" i="5"/>
  <c r="S421" i="5"/>
  <c r="T510" i="5"/>
  <c r="T443" i="5"/>
  <c r="S464" i="5"/>
  <c r="T480" i="5"/>
  <c r="T523" i="5"/>
  <c r="T544" i="5"/>
  <c r="T566" i="5"/>
  <c r="S552" i="5"/>
  <c r="S586" i="5"/>
  <c r="T487" i="5"/>
  <c r="T503" i="5"/>
  <c r="T514" i="5"/>
  <c r="T584" i="5"/>
  <c r="T590" i="5"/>
  <c r="T393" i="5"/>
  <c r="T409" i="5"/>
  <c r="T445" i="5"/>
  <c r="T381" i="5"/>
  <c r="T304" i="5"/>
  <c r="T429" i="5"/>
  <c r="S479" i="5"/>
  <c r="T323" i="5"/>
  <c r="T343" i="5"/>
  <c r="T345" i="5"/>
  <c r="S364" i="5"/>
  <c r="S392" i="5"/>
  <c r="T326" i="5"/>
  <c r="T515" i="5"/>
  <c r="S348" i="5"/>
  <c r="T412" i="5"/>
  <c r="S433" i="5"/>
  <c r="T452" i="5"/>
  <c r="T504" i="5"/>
  <c r="T547" i="5"/>
  <c r="T494" i="5"/>
  <c r="T526" i="5"/>
  <c r="S444" i="5"/>
  <c r="T543" i="5"/>
  <c r="T444" i="5"/>
  <c r="T528" i="5"/>
  <c r="T492" i="5"/>
  <c r="T508" i="5"/>
  <c r="T530" i="5"/>
  <c r="S584" i="5"/>
  <c r="T453" i="5"/>
  <c r="T421" i="5"/>
  <c r="T425" i="5"/>
  <c r="T385" i="5"/>
  <c r="T307" i="5"/>
  <c r="T531" i="5"/>
  <c r="T289" i="5"/>
  <c r="T369" i="5"/>
  <c r="S396" i="5"/>
  <c r="S400" i="5"/>
  <c r="S405" i="5"/>
  <c r="T353" i="5"/>
  <c r="S413" i="5"/>
  <c r="T424" i="5"/>
  <c r="S453" i="5"/>
  <c r="T559" i="5"/>
  <c r="S420" i="5"/>
  <c r="S448" i="5"/>
  <c r="T495" i="5"/>
  <c r="T511" i="5"/>
  <c r="T527" i="5"/>
  <c r="T546" i="5"/>
  <c r="T507" i="5"/>
  <c r="T476" i="5"/>
  <c r="T570" i="5"/>
  <c r="T558" i="5"/>
  <c r="T389" i="5"/>
  <c r="T397" i="5"/>
  <c r="T449" i="5"/>
  <c r="T351" i="5"/>
  <c r="T329" i="5"/>
  <c r="S385" i="5"/>
  <c r="T333" i="5"/>
  <c r="T291" i="5"/>
  <c r="S393" i="5"/>
  <c r="T478" i="5"/>
  <c r="T348" i="5"/>
  <c r="T360" i="5"/>
  <c r="S380" i="5"/>
  <c r="T372" i="5"/>
  <c r="T392" i="5"/>
  <c r="S425" i="5"/>
  <c r="T436" i="5"/>
  <c r="S445" i="5"/>
  <c r="T550" i="5"/>
  <c r="S424" i="5"/>
  <c r="T451" i="5"/>
  <c r="T479" i="5"/>
  <c r="T548" i="5"/>
  <c r="S470" i="5"/>
  <c r="S461" i="5"/>
  <c r="T512" i="5"/>
  <c r="T582" i="5"/>
  <c r="S494" i="5"/>
  <c r="T319" i="5"/>
  <c r="T468" i="5"/>
  <c r="T499" i="5"/>
  <c r="T428" i="5"/>
  <c r="T380" i="5"/>
  <c r="T456" i="5"/>
  <c r="T357" i="5"/>
  <c r="T311" i="5"/>
  <c r="T352" i="5"/>
  <c r="T416" i="5"/>
  <c r="T432" i="5"/>
  <c r="T484" i="5"/>
  <c r="T344" i="5"/>
  <c r="T404" i="5"/>
  <c r="T34" i="5"/>
  <c r="S97" i="5"/>
  <c r="T206" i="5"/>
  <c r="T19" i="5"/>
  <c r="T137" i="5"/>
  <c r="T282" i="5"/>
  <c r="S157" i="5"/>
  <c r="T147" i="5"/>
  <c r="S263" i="5"/>
  <c r="T50" i="5"/>
  <c r="T135" i="5"/>
  <c r="T64" i="5"/>
  <c r="T118" i="5"/>
  <c r="T197" i="5"/>
  <c r="T39" i="5"/>
  <c r="T246" i="5"/>
  <c r="T59" i="5"/>
  <c r="T267" i="5"/>
  <c r="T84" i="5"/>
  <c r="T226" i="5"/>
  <c r="T214" i="5"/>
  <c r="S131" i="5"/>
  <c r="S39" i="5"/>
  <c r="T286" i="5"/>
  <c r="T285" i="5"/>
  <c r="T254" i="5"/>
  <c r="S227" i="5"/>
  <c r="T5" i="5"/>
  <c r="T82" i="5"/>
  <c r="T169" i="5"/>
  <c r="T88" i="5"/>
  <c r="S27" i="5"/>
  <c r="T21" i="5"/>
  <c r="S255" i="5"/>
  <c r="T69" i="5"/>
  <c r="T72" i="5"/>
  <c r="T98" i="5"/>
  <c r="T198" i="5"/>
  <c r="T33" i="5"/>
  <c r="S225" i="5"/>
  <c r="T235" i="5"/>
  <c r="T74" i="5"/>
  <c r="S59" i="5"/>
  <c r="T51" i="5"/>
  <c r="T247" i="5"/>
  <c r="S167" i="5"/>
  <c r="S295" i="5"/>
  <c r="T70" i="5"/>
  <c r="T111" i="5"/>
  <c r="T143" i="5"/>
  <c r="T28" i="5"/>
  <c r="T177" i="5"/>
  <c r="T203" i="5"/>
  <c r="T245" i="5"/>
  <c r="T61" i="5"/>
  <c r="T36" i="5"/>
  <c r="S67" i="5"/>
  <c r="T190" i="5"/>
  <c r="T117" i="5"/>
  <c r="T274" i="5"/>
  <c r="S150" i="5"/>
  <c r="T302" i="5"/>
  <c r="S219" i="5"/>
  <c r="S145" i="5"/>
  <c r="T127" i="5"/>
  <c r="S257" i="5"/>
  <c r="T219" i="5"/>
  <c r="T162" i="5"/>
  <c r="T170" i="5"/>
  <c r="T22" i="5"/>
  <c r="T234" i="5"/>
  <c r="T271" i="5"/>
  <c r="S275" i="5"/>
  <c r="S65" i="5"/>
  <c r="T96" i="5"/>
  <c r="S175" i="5"/>
  <c r="T30" i="5"/>
  <c r="T153" i="5"/>
  <c r="T63" i="5"/>
  <c r="T66" i="5"/>
  <c r="T149" i="5"/>
  <c r="S135" i="5"/>
  <c r="T85" i="5"/>
  <c r="S197" i="5"/>
  <c r="T101" i="5"/>
  <c r="S99" i="5"/>
  <c r="T79" i="5"/>
  <c r="T95" i="5"/>
  <c r="T262" i="5"/>
  <c r="T249" i="5"/>
  <c r="S55" i="5"/>
  <c r="T225" i="5"/>
  <c r="T102" i="5"/>
  <c r="T58" i="5"/>
  <c r="S49" i="5"/>
  <c r="T81" i="5"/>
  <c r="T179" i="5"/>
  <c r="S18" i="5"/>
  <c r="T231" i="5"/>
  <c r="T56" i="5"/>
  <c r="S75" i="5"/>
  <c r="T18" i="5"/>
  <c r="T233" i="5"/>
  <c r="T145" i="5"/>
  <c r="T32" i="5"/>
  <c r="T146" i="5"/>
  <c r="T35" i="5"/>
  <c r="T159" i="5"/>
  <c r="S229" i="5"/>
  <c r="T45" i="5"/>
  <c r="T37" i="5"/>
  <c r="S89" i="5"/>
  <c r="T46" i="5"/>
  <c r="T49" i="5"/>
  <c r="T130" i="5"/>
  <c r="T209" i="5"/>
  <c r="S47" i="5"/>
  <c r="S237" i="5"/>
  <c r="T80" i="5"/>
  <c r="T155" i="5"/>
  <c r="T40" i="5"/>
  <c r="S25" i="5"/>
  <c r="T210" i="5"/>
  <c r="T261" i="5"/>
  <c r="T27" i="5"/>
  <c r="T126" i="5"/>
  <c r="S171" i="5"/>
  <c r="S190" i="5"/>
  <c r="S259" i="5"/>
  <c r="T217" i="5"/>
  <c r="T105" i="5"/>
  <c r="T78" i="5"/>
  <c r="T222" i="5"/>
  <c r="T86" i="5"/>
  <c r="S57" i="5"/>
  <c r="T227" i="5"/>
  <c r="T193" i="5"/>
  <c r="T26" i="5"/>
  <c r="S106" i="5"/>
  <c r="T38" i="5"/>
  <c r="T173" i="5"/>
  <c r="S129" i="5"/>
  <c r="T129" i="5"/>
  <c r="T157" i="5"/>
  <c r="T20" i="5"/>
  <c r="S35" i="5"/>
  <c r="T121" i="5"/>
  <c r="S95" i="5"/>
  <c r="S179" i="5"/>
  <c r="T199" i="5"/>
  <c r="T90" i="5"/>
  <c r="T65" i="5"/>
  <c r="T230" i="5"/>
  <c r="T97" i="5"/>
  <c r="S94" i="5"/>
  <c r="S169" i="5"/>
  <c r="S161" i="5"/>
  <c r="S105" i="5"/>
  <c r="S223" i="5"/>
  <c r="T42" i="5"/>
  <c r="S155" i="5"/>
  <c r="S41" i="5"/>
  <c r="T57" i="5"/>
  <c r="T54" i="5"/>
  <c r="T158" i="5"/>
  <c r="T171" i="5"/>
  <c r="T195" i="5"/>
  <c r="S137" i="5"/>
  <c r="T269" i="5"/>
  <c r="S302" i="5"/>
  <c r="S304" i="5"/>
  <c r="S235" i="5"/>
  <c r="S73" i="5"/>
  <c r="T6" i="5"/>
  <c r="T161" i="5"/>
  <c r="T241" i="5"/>
  <c r="T29" i="5"/>
  <c r="S299" i="5"/>
  <c r="T201" i="5"/>
  <c r="S51" i="5"/>
  <c r="T310" i="5"/>
  <c r="T125" i="5"/>
  <c r="T202" i="5"/>
  <c r="T182" i="5"/>
  <c r="T205" i="5"/>
  <c r="T270" i="5"/>
  <c r="S267" i="5"/>
  <c r="S183" i="5"/>
  <c r="T133" i="5"/>
  <c r="S143" i="5"/>
  <c r="T122" i="5"/>
  <c r="T92" i="5"/>
  <c r="T165" i="5"/>
  <c r="S61" i="5"/>
  <c r="T183" i="5"/>
  <c r="S159" i="5"/>
  <c r="T275" i="5"/>
  <c r="T259" i="5"/>
  <c r="T166" i="5"/>
  <c r="S291" i="5"/>
  <c r="T73" i="5"/>
  <c r="S147" i="5"/>
  <c r="T138" i="5"/>
  <c r="T131" i="5"/>
  <c r="T47" i="5"/>
  <c r="T229" i="5"/>
  <c r="S199" i="5"/>
  <c r="T89" i="5"/>
  <c r="T62" i="5"/>
  <c r="S33" i="5"/>
  <c r="T266" i="5"/>
  <c r="S203" i="5"/>
  <c r="T110" i="5"/>
  <c r="S31" i="5"/>
  <c r="T55" i="5"/>
  <c r="S26" i="5"/>
  <c r="T309" i="5"/>
  <c r="T52" i="5"/>
  <c r="T273" i="5"/>
  <c r="T237" i="5"/>
  <c r="S28" i="5"/>
  <c r="T134" i="5"/>
  <c r="S193" i="5"/>
  <c r="T150" i="5"/>
  <c r="T142" i="5"/>
  <c r="S123" i="5"/>
  <c r="T139" i="5"/>
  <c r="T174" i="5"/>
  <c r="T238" i="5"/>
  <c r="S247" i="5"/>
  <c r="T253" i="5"/>
  <c r="S187" i="5"/>
  <c r="S81" i="5"/>
  <c r="T99" i="5"/>
  <c r="T25" i="5"/>
  <c r="S53" i="5"/>
  <c r="S83" i="5"/>
  <c r="T299" i="5"/>
  <c r="S19" i="5"/>
  <c r="S111" i="5"/>
  <c r="S69" i="5"/>
  <c r="T94" i="5"/>
  <c r="T68" i="5"/>
  <c r="T41" i="5"/>
  <c r="T186" i="5"/>
  <c r="S45" i="5"/>
  <c r="T83" i="5"/>
  <c r="T106" i="5"/>
  <c r="T23" i="5"/>
  <c r="T263" i="5"/>
  <c r="S93" i="5"/>
  <c r="T258" i="5"/>
  <c r="T123" i="5"/>
  <c r="S113" i="5"/>
  <c r="T75" i="5"/>
  <c r="T178" i="5"/>
  <c r="T187" i="5"/>
  <c r="T250" i="5"/>
  <c r="S177" i="5"/>
  <c r="T119" i="5"/>
  <c r="T257" i="5"/>
  <c r="T53" i="5"/>
  <c r="T77" i="5"/>
  <c r="T60" i="5"/>
  <c r="S271" i="5"/>
  <c r="S125" i="5"/>
  <c r="T44" i="5"/>
  <c r="T31" i="5"/>
  <c r="T154" i="5"/>
  <c r="T221" i="5"/>
  <c r="T141" i="5"/>
  <c r="S269" i="5"/>
  <c r="T67" i="5"/>
  <c r="T218" i="5"/>
  <c r="S283" i="5"/>
  <c r="T213" i="5"/>
  <c r="T76" i="5"/>
  <c r="T93" i="5"/>
  <c r="T242" i="5"/>
  <c r="S127" i="5"/>
  <c r="T283" i="5"/>
  <c r="T223" i="5"/>
  <c r="S210" i="5"/>
  <c r="T167" i="5"/>
  <c r="T24" i="5"/>
  <c r="S85" i="5"/>
  <c r="S77" i="5"/>
  <c r="T298" i="5"/>
  <c r="S119" i="5"/>
  <c r="T185" i="5"/>
  <c r="T107" i="5"/>
  <c r="T109" i="5"/>
  <c r="T114" i="5"/>
  <c r="T181" i="5"/>
  <c r="S195" i="5"/>
  <c r="T48" i="5"/>
  <c r="T113" i="5"/>
  <c r="T278" i="5"/>
  <c r="T301" i="5"/>
  <c r="T255" i="5"/>
  <c r="C8" i="6" l="1"/>
  <c r="C10" i="6"/>
  <c r="C11" i="6"/>
  <c r="C9" i="6"/>
  <c r="R2165" i="5"/>
  <c r="I1967" i="5"/>
  <c r="E2165" i="5"/>
  <c r="X2165" i="5" s="1"/>
  <c r="J2069" i="5"/>
  <c r="I2069" i="5"/>
  <c r="J1967" i="5"/>
  <c r="I987" i="5"/>
  <c r="H650" i="5"/>
  <c r="X290" i="5"/>
  <c r="E2044" i="5"/>
  <c r="X2044" i="5" s="1"/>
  <c r="R2044" i="5"/>
  <c r="R1967" i="5"/>
  <c r="H987" i="5"/>
  <c r="E1967" i="5"/>
  <c r="X1967" i="5" s="1"/>
  <c r="H1959" i="5"/>
  <c r="R987" i="5"/>
  <c r="R2069" i="5"/>
  <c r="I1959" i="5"/>
  <c r="E1272" i="5"/>
  <c r="X1272" i="5" s="1"/>
  <c r="H2069" i="5"/>
  <c r="J1959" i="5"/>
  <c r="R1959" i="5"/>
  <c r="E1198" i="5"/>
  <c r="X1198" i="5" s="1"/>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E2318" i="5"/>
  <c r="X2318" i="5" s="1"/>
  <c r="J1919" i="5"/>
  <c r="E1289" i="5"/>
  <c r="X1289" i="5" s="1"/>
  <c r="R983" i="5"/>
  <c r="G851" i="5"/>
  <c r="R872" i="5"/>
  <c r="I851" i="5"/>
  <c r="F1735" i="5"/>
  <c r="I1859" i="5"/>
  <c r="F1577" i="5"/>
  <c r="G1352" i="5"/>
  <c r="H1339" i="5"/>
  <c r="I1224" i="5"/>
  <c r="G752" i="5"/>
  <c r="E752" i="5"/>
  <c r="X752" i="5" s="1"/>
  <c r="J775" i="5"/>
  <c r="F678" i="5"/>
  <c r="I1735" i="5"/>
  <c r="J2284" i="5"/>
  <c r="J1339" i="5"/>
  <c r="F967" i="5"/>
  <c r="J678" i="5"/>
  <c r="E578" i="5"/>
  <c r="F2189" i="5"/>
  <c r="J1735" i="5"/>
  <c r="R1339" i="5"/>
  <c r="I967" i="5"/>
  <c r="I829" i="5"/>
  <c r="H752" i="5"/>
  <c r="H578" i="5"/>
  <c r="I1665" i="5"/>
  <c r="H1577" i="5"/>
  <c r="E1339" i="5"/>
  <c r="X1339" i="5" s="1"/>
  <c r="R967" i="5"/>
  <c r="R829" i="5"/>
  <c r="J752" i="5"/>
  <c r="I578" i="5"/>
  <c r="J1492" i="5"/>
  <c r="F2409" i="5"/>
  <c r="R1669" i="5"/>
  <c r="J1577" i="5"/>
  <c r="I1339" i="5"/>
  <c r="E967" i="5"/>
  <c r="X967" i="5" s="1"/>
  <c r="J578" i="5"/>
  <c r="E678" i="5"/>
  <c r="X678" i="5" s="1"/>
  <c r="F1385" i="5"/>
  <c r="G982" i="5"/>
  <c r="G1320" i="5"/>
  <c r="F982" i="5"/>
  <c r="J672" i="5"/>
  <c r="E650" i="5"/>
  <c r="X650" i="5" s="1"/>
  <c r="J1051" i="5"/>
  <c r="H2173" i="5"/>
  <c r="J1684" i="5"/>
  <c r="I1385" i="5"/>
  <c r="I1051" i="5"/>
  <c r="I1320" i="5"/>
  <c r="I1133" i="5"/>
  <c r="H982" i="5"/>
  <c r="I650" i="5"/>
  <c r="E1385" i="5"/>
  <c r="X1385" i="5" s="1"/>
  <c r="R1039" i="5"/>
  <c r="G1133" i="5"/>
  <c r="I1015" i="5"/>
  <c r="J1320" i="5"/>
  <c r="J1133" i="5"/>
  <c r="I982" i="5"/>
  <c r="J2173" i="5"/>
  <c r="G1593" i="5"/>
  <c r="R1320" i="5"/>
  <c r="J982" i="5"/>
  <c r="E2173" i="5"/>
  <c r="X2173" i="5" s="1"/>
  <c r="H2116" i="5"/>
  <c r="R1754" i="5"/>
  <c r="J1593" i="5"/>
  <c r="H1593" i="5"/>
  <c r="H1385" i="5"/>
  <c r="I672" i="5"/>
  <c r="F2301" i="5"/>
  <c r="R1593" i="5"/>
  <c r="J1385" i="5"/>
  <c r="E1320" i="5"/>
  <c r="X1320" i="5" s="1"/>
  <c r="R2301" i="5"/>
  <c r="E1593" i="5"/>
  <c r="X1593" i="5" s="1"/>
  <c r="R1051" i="5"/>
  <c r="R1015" i="5"/>
  <c r="I1039" i="5"/>
  <c r="F1320" i="5"/>
  <c r="R852" i="5"/>
  <c r="F1947" i="5"/>
  <c r="H1947" i="5"/>
  <c r="E1426" i="5"/>
  <c r="X1426" i="5" s="1"/>
  <c r="I1381" i="5"/>
  <c r="E872" i="5"/>
  <c r="X872" i="5" s="1"/>
  <c r="J463" i="5"/>
  <c r="I1947" i="5"/>
  <c r="R1665" i="5"/>
  <c r="E1158" i="5"/>
  <c r="X1158" i="5" s="1"/>
  <c r="H463" i="5"/>
  <c r="E2363" i="5"/>
  <c r="X2363" i="5" s="1"/>
  <c r="J1947" i="5"/>
  <c r="J1438" i="5"/>
  <c r="F1158" i="5"/>
  <c r="R1947" i="5"/>
  <c r="J1665" i="5"/>
  <c r="J1426" i="5"/>
  <c r="R262" i="5"/>
  <c r="E463" i="5"/>
  <c r="I2363" i="5"/>
  <c r="I872" i="5"/>
  <c r="I463" i="5"/>
  <c r="R574" i="5"/>
  <c r="I2480" i="5"/>
  <c r="E1947" i="5"/>
  <c r="X1947" i="5" s="1"/>
  <c r="R1325" i="5"/>
  <c r="H1158" i="5"/>
  <c r="G872" i="5"/>
  <c r="F872" i="5"/>
  <c r="R746" i="5"/>
  <c r="F767" i="5"/>
  <c r="H746" i="5"/>
  <c r="E562" i="5"/>
  <c r="H2325" i="5"/>
  <c r="R1329" i="5"/>
  <c r="E574" i="5"/>
  <c r="H562" i="5"/>
  <c r="F463" i="5"/>
  <c r="G1204" i="5"/>
  <c r="R1204" i="5"/>
  <c r="H574" i="5"/>
  <c r="I562" i="5"/>
  <c r="F1665" i="5"/>
  <c r="J1204" i="5"/>
  <c r="G766" i="5"/>
  <c r="I574" i="5"/>
  <c r="J562" i="5"/>
  <c r="J872" i="5"/>
  <c r="F562" i="5"/>
  <c r="H1665" i="5"/>
  <c r="J574" i="5"/>
  <c r="R2363" i="5"/>
  <c r="R2317" i="5"/>
  <c r="R2157" i="5"/>
  <c r="H1786" i="5"/>
  <c r="R799" i="5"/>
  <c r="H576" i="5"/>
  <c r="R2397" i="5"/>
  <c r="J2363" i="5"/>
  <c r="E2157" i="5"/>
  <c r="X2157" i="5" s="1"/>
  <c r="F696" i="5"/>
  <c r="I644" i="5"/>
  <c r="H403" i="5"/>
  <c r="H2397" i="5"/>
  <c r="E2397" i="5"/>
  <c r="X2397" i="5" s="1"/>
  <c r="E717" i="5"/>
  <c r="X717" i="5" s="1"/>
  <c r="J403" i="5"/>
  <c r="J1233" i="5"/>
  <c r="F717" i="5"/>
  <c r="R775" i="5"/>
  <c r="E799" i="5"/>
  <c r="X799" i="5" s="1"/>
  <c r="E775" i="5"/>
  <c r="X775" i="5" s="1"/>
  <c r="R403" i="5"/>
  <c r="H2317" i="5"/>
  <c r="F799" i="5"/>
  <c r="F775" i="5"/>
  <c r="E403" i="5"/>
  <c r="F2363" i="5"/>
  <c r="G2317" i="5"/>
  <c r="H799" i="5"/>
  <c r="H775" i="5"/>
  <c r="J391" i="5"/>
  <c r="H2363" i="5"/>
  <c r="I2317" i="5"/>
  <c r="F1786" i="5"/>
  <c r="F942" i="5"/>
  <c r="I799" i="5"/>
  <c r="I775" i="5"/>
  <c r="E2016" i="5"/>
  <c r="X2016" i="5" s="1"/>
  <c r="J2016" i="5"/>
  <c r="J1724" i="5"/>
  <c r="E1684" i="5"/>
  <c r="X1684" i="5" s="1"/>
  <c r="H1434" i="5"/>
  <c r="I1308" i="5"/>
  <c r="F1272" i="5"/>
  <c r="J602" i="5"/>
  <c r="T602" i="5" s="1"/>
  <c r="J2077" i="5"/>
  <c r="I2077" i="5"/>
  <c r="J1673" i="5"/>
  <c r="E1716" i="5"/>
  <c r="X1716" i="5" s="1"/>
  <c r="R1403" i="5"/>
  <c r="R1308" i="5"/>
  <c r="G1272" i="5"/>
  <c r="H602" i="5"/>
  <c r="E2257" i="5"/>
  <c r="X2257" i="5" s="1"/>
  <c r="I1770" i="5"/>
  <c r="R1633" i="5"/>
  <c r="I1272" i="5"/>
  <c r="R891" i="5"/>
  <c r="E1067" i="5"/>
  <c r="X1067" i="5" s="1"/>
  <c r="R2077" i="5"/>
  <c r="J1770" i="5"/>
  <c r="R1673" i="5"/>
  <c r="J1434" i="5"/>
  <c r="J1272" i="5"/>
  <c r="R2257" i="5"/>
  <c r="F1526" i="5"/>
  <c r="R1123" i="5"/>
  <c r="R1272" i="5"/>
  <c r="I602" i="5"/>
  <c r="F1673" i="5"/>
  <c r="J2318" i="5"/>
  <c r="H1464" i="5"/>
  <c r="I1526" i="5"/>
  <c r="H1673" i="5"/>
  <c r="R2318" i="5"/>
  <c r="H2043" i="5"/>
  <c r="J1633" i="5"/>
  <c r="J1526" i="5"/>
  <c r="E1434" i="5"/>
  <c r="X1434" i="5" s="1"/>
  <c r="E602" i="5"/>
  <c r="E1673" i="5"/>
  <c r="X1673" i="5" s="1"/>
  <c r="F1051" i="5"/>
  <c r="F672" i="5"/>
  <c r="R115" i="5"/>
  <c r="G1385" i="5"/>
  <c r="R1724" i="5"/>
  <c r="F1680" i="5"/>
  <c r="H1672" i="5"/>
  <c r="E1325" i="5"/>
  <c r="X1325" i="5" s="1"/>
  <c r="J1224" i="5"/>
  <c r="J696" i="5"/>
  <c r="I1325" i="5"/>
  <c r="F1681" i="5"/>
  <c r="H1700" i="5"/>
  <c r="E1724" i="5"/>
  <c r="X1724" i="5" s="1"/>
  <c r="G1680" i="5"/>
  <c r="F1313" i="5"/>
  <c r="G1681" i="5"/>
  <c r="F2293" i="5"/>
  <c r="I1700" i="5"/>
  <c r="F1609" i="5"/>
  <c r="H1680" i="5"/>
  <c r="E696" i="5"/>
  <c r="X696" i="5" s="1"/>
  <c r="I1681" i="5"/>
  <c r="I1313" i="5"/>
  <c r="H1681" i="5"/>
  <c r="H2293" i="5"/>
  <c r="F1936" i="5"/>
  <c r="J1700" i="5"/>
  <c r="J1609" i="5"/>
  <c r="R1712" i="5"/>
  <c r="I1680" i="5"/>
  <c r="R1313" i="5"/>
  <c r="H1313" i="5"/>
  <c r="R762" i="5"/>
  <c r="G696" i="5"/>
  <c r="I2293" i="5"/>
  <c r="R1697" i="5"/>
  <c r="J1693" i="5"/>
  <c r="R1609" i="5"/>
  <c r="E1712" i="5"/>
  <c r="X1712" i="5" s="1"/>
  <c r="J1680" i="5"/>
  <c r="E1313" i="5"/>
  <c r="X1313" i="5" s="1"/>
  <c r="F1224" i="5"/>
  <c r="H648" i="5"/>
  <c r="R419" i="5"/>
  <c r="E2293" i="5"/>
  <c r="X2293" i="5" s="1"/>
  <c r="R2293" i="5"/>
  <c r="R1693" i="5"/>
  <c r="H1724" i="5"/>
  <c r="R1680" i="5"/>
  <c r="H1224" i="5"/>
  <c r="I696" i="5"/>
  <c r="H696" i="5"/>
  <c r="J419" i="5"/>
  <c r="H2289" i="5"/>
  <c r="I1724" i="5"/>
  <c r="H1325" i="5"/>
  <c r="R1224" i="5"/>
  <c r="I648" i="5"/>
  <c r="H419" i="5"/>
  <c r="J2480" i="5"/>
  <c r="J2232" i="5"/>
  <c r="J1641" i="5"/>
  <c r="I1508" i="5"/>
  <c r="E1297" i="5"/>
  <c r="X1297" i="5" s="1"/>
  <c r="H1222" i="5"/>
  <c r="I1110" i="5"/>
  <c r="E496" i="5"/>
  <c r="I1140" i="5"/>
  <c r="I1233" i="5"/>
  <c r="H2480" i="5"/>
  <c r="G2232" i="5"/>
  <c r="H1859" i="5"/>
  <c r="I1754" i="5"/>
  <c r="R1641" i="5"/>
  <c r="J1110" i="5"/>
  <c r="I632" i="5"/>
  <c r="R1233" i="5"/>
  <c r="R2480" i="5"/>
  <c r="R2310" i="5"/>
  <c r="J1859" i="5"/>
  <c r="E1754" i="5"/>
  <c r="X1754" i="5" s="1"/>
  <c r="R1644" i="5"/>
  <c r="R1253" i="5"/>
  <c r="H1253" i="5"/>
  <c r="H1233" i="5"/>
  <c r="I596" i="5"/>
  <c r="R447" i="5"/>
  <c r="G1233" i="5"/>
  <c r="E2310" i="5"/>
  <c r="X2310" i="5" s="1"/>
  <c r="F2092" i="5"/>
  <c r="R1859" i="5"/>
  <c r="E1253" i="5"/>
  <c r="X1253" i="5" s="1"/>
  <c r="G836" i="5"/>
  <c r="H415" i="5"/>
  <c r="H395" i="5"/>
  <c r="E2480" i="5"/>
  <c r="X2480" i="5" s="1"/>
  <c r="F1859" i="5"/>
  <c r="E1859" i="5"/>
  <c r="X1859" i="5" s="1"/>
  <c r="E1668" i="5"/>
  <c r="X1668" i="5" s="1"/>
  <c r="E1508" i="5"/>
  <c r="X1508" i="5" s="1"/>
  <c r="E1222" i="5"/>
  <c r="X1222" i="5" s="1"/>
  <c r="R1086" i="5"/>
  <c r="I836" i="5"/>
  <c r="H596" i="5"/>
  <c r="R415" i="5"/>
  <c r="J447" i="5"/>
  <c r="J395" i="5"/>
  <c r="F2480" i="5"/>
  <c r="E2386" i="5"/>
  <c r="X2386" i="5" s="1"/>
  <c r="J2164" i="5"/>
  <c r="R1653" i="5"/>
  <c r="J1653" i="5"/>
  <c r="F1508" i="5"/>
  <c r="F1222" i="5"/>
  <c r="H1297" i="5"/>
  <c r="G1110" i="5"/>
  <c r="F836" i="5"/>
  <c r="R836" i="5"/>
  <c r="R395" i="5"/>
  <c r="I496" i="5"/>
  <c r="E395" i="5"/>
  <c r="F1233" i="5"/>
  <c r="E1900" i="5"/>
  <c r="X1900" i="5" s="1"/>
  <c r="J1725" i="5"/>
  <c r="H1716" i="5"/>
  <c r="F1403" i="5"/>
  <c r="E1381" i="5"/>
  <c r="X1381" i="5" s="1"/>
  <c r="E1329" i="5"/>
  <c r="X1329" i="5" s="1"/>
  <c r="I1095" i="5"/>
  <c r="E971" i="5"/>
  <c r="X971" i="5" s="1"/>
  <c r="E2213" i="5"/>
  <c r="X2213" i="5" s="1"/>
  <c r="E1633" i="5"/>
  <c r="X1633" i="5" s="1"/>
  <c r="R808" i="5"/>
  <c r="J2133" i="5"/>
  <c r="J2161" i="5"/>
  <c r="E1919" i="5"/>
  <c r="X1919" i="5" s="1"/>
  <c r="I1716" i="5"/>
  <c r="H1426" i="5"/>
  <c r="H1329" i="5"/>
  <c r="I608" i="5"/>
  <c r="F808" i="5"/>
  <c r="J314" i="5"/>
  <c r="T314" i="5" s="1"/>
  <c r="R2133" i="5"/>
  <c r="R2161" i="5"/>
  <c r="F1919" i="5"/>
  <c r="J1716" i="5"/>
  <c r="E1403" i="5"/>
  <c r="X1403" i="5" s="1"/>
  <c r="R1067" i="5"/>
  <c r="E1308" i="5"/>
  <c r="X1308" i="5" s="1"/>
  <c r="J1145" i="5"/>
  <c r="G750" i="5"/>
  <c r="H883" i="5"/>
  <c r="H447" i="5"/>
  <c r="I808" i="5"/>
  <c r="E2133" i="5"/>
  <c r="X2133" i="5" s="1"/>
  <c r="H1900" i="5"/>
  <c r="I1919" i="5"/>
  <c r="R1716" i="5"/>
  <c r="H1684" i="5"/>
  <c r="R1285" i="5"/>
  <c r="F1308" i="5"/>
  <c r="F883" i="5"/>
  <c r="E314" i="5"/>
  <c r="I1403" i="5"/>
  <c r="H1919" i="5"/>
  <c r="I1684" i="5"/>
  <c r="E1285" i="5"/>
  <c r="X1285" i="5" s="1"/>
  <c r="I1123" i="5"/>
  <c r="I1067" i="5"/>
  <c r="G1308" i="5"/>
  <c r="I883" i="5"/>
  <c r="F314" i="5"/>
  <c r="R883" i="5"/>
  <c r="E783" i="5"/>
  <c r="X783" i="5" s="1"/>
  <c r="F1900" i="5"/>
  <c r="R1919" i="5"/>
  <c r="R1725" i="5"/>
  <c r="R1684" i="5"/>
  <c r="E1526" i="5"/>
  <c r="X1526" i="5" s="1"/>
  <c r="J1308" i="5"/>
  <c r="J2181" i="5"/>
  <c r="H2164" i="5"/>
  <c r="R2184" i="5"/>
  <c r="J1668" i="5"/>
  <c r="R1660" i="5"/>
  <c r="E1688" i="5"/>
  <c r="X1688" i="5" s="1"/>
  <c r="H1652" i="5"/>
  <c r="I1644" i="5"/>
  <c r="H942" i="5"/>
  <c r="G720" i="5"/>
  <c r="G680" i="5"/>
  <c r="E524" i="5"/>
  <c r="I720" i="5"/>
  <c r="R2181" i="5"/>
  <c r="I2164" i="5"/>
  <c r="E2012" i="5"/>
  <c r="X2012" i="5" s="1"/>
  <c r="E2092" i="5"/>
  <c r="X2092" i="5" s="1"/>
  <c r="R1668" i="5"/>
  <c r="G1708" i="5"/>
  <c r="F1708" i="5"/>
  <c r="E1660" i="5"/>
  <c r="X1660" i="5" s="1"/>
  <c r="I1652" i="5"/>
  <c r="J1644" i="5"/>
  <c r="E942" i="5"/>
  <c r="X942" i="5" s="1"/>
  <c r="E767" i="5"/>
  <c r="X767" i="5" s="1"/>
  <c r="H391" i="5"/>
  <c r="J720" i="5"/>
  <c r="J2454" i="5"/>
  <c r="F2215" i="5"/>
  <c r="E2215" i="5"/>
  <c r="X2215" i="5" s="1"/>
  <c r="E2184" i="5"/>
  <c r="X2184" i="5" s="1"/>
  <c r="R2164" i="5"/>
  <c r="I2043" i="5"/>
  <c r="G2092" i="5"/>
  <c r="R1657" i="5"/>
  <c r="R1652" i="5"/>
  <c r="H1708" i="5"/>
  <c r="E1644" i="5"/>
  <c r="X1644" i="5" s="1"/>
  <c r="I942" i="5"/>
  <c r="H767" i="5"/>
  <c r="J680" i="5"/>
  <c r="H720" i="5"/>
  <c r="I680" i="5"/>
  <c r="E680" i="5"/>
  <c r="X680" i="5" s="1"/>
  <c r="R391" i="5"/>
  <c r="F2012" i="5"/>
  <c r="R2454" i="5"/>
  <c r="H2215" i="5"/>
  <c r="J2043" i="5"/>
  <c r="H2092" i="5"/>
  <c r="H1688" i="5"/>
  <c r="E1652" i="5"/>
  <c r="X1652" i="5" s="1"/>
  <c r="I1708" i="5"/>
  <c r="R942" i="5"/>
  <c r="I767" i="5"/>
  <c r="R720" i="5"/>
  <c r="E391" i="5"/>
  <c r="F2253" i="5"/>
  <c r="E2253" i="5"/>
  <c r="X2253" i="5" s="1"/>
  <c r="J2197" i="5"/>
  <c r="H2184" i="5"/>
  <c r="R2012" i="5"/>
  <c r="R2043" i="5"/>
  <c r="I2092" i="5"/>
  <c r="H1660" i="5"/>
  <c r="F1644" i="5"/>
  <c r="I1688" i="5"/>
  <c r="F1668" i="5"/>
  <c r="J1708" i="5"/>
  <c r="J767" i="5"/>
  <c r="H600" i="5"/>
  <c r="R2197" i="5"/>
  <c r="I2184" i="5"/>
  <c r="E2043" i="5"/>
  <c r="X2043" i="5" s="1"/>
  <c r="J2092" i="5"/>
  <c r="J1657" i="5"/>
  <c r="H1668" i="5"/>
  <c r="G1644" i="5"/>
  <c r="I1660" i="5"/>
  <c r="J1688" i="5"/>
  <c r="R1708" i="5"/>
  <c r="G942" i="5"/>
  <c r="J644" i="5"/>
  <c r="J2184" i="5"/>
  <c r="I1668" i="5"/>
  <c r="J1660" i="5"/>
  <c r="R1688" i="5"/>
  <c r="H680" i="5"/>
  <c r="F680" i="5"/>
  <c r="E2197" i="5"/>
  <c r="X2197" i="5" s="1"/>
  <c r="E2409" i="5"/>
  <c r="X2409" i="5" s="1"/>
  <c r="I2116" i="5"/>
  <c r="R1774" i="5"/>
  <c r="R1140" i="5"/>
  <c r="H869" i="5"/>
  <c r="G869" i="5"/>
  <c r="E852" i="5"/>
  <c r="X852" i="5" s="1"/>
  <c r="R754" i="5"/>
  <c r="J439" i="5"/>
  <c r="J411" i="5"/>
  <c r="E1140" i="5"/>
  <c r="X1140" i="5" s="1"/>
  <c r="J2116" i="5"/>
  <c r="I1855" i="5"/>
  <c r="E1842" i="5"/>
  <c r="X1842" i="5" s="1"/>
  <c r="H1774" i="5"/>
  <c r="H1811" i="5"/>
  <c r="E1774" i="5"/>
  <c r="X1774" i="5" s="1"/>
  <c r="R979" i="5"/>
  <c r="F852" i="5"/>
  <c r="F817" i="5"/>
  <c r="I580" i="5"/>
  <c r="G1140" i="5"/>
  <c r="R2116" i="5"/>
  <c r="H1855" i="5"/>
  <c r="I1811" i="5"/>
  <c r="F1774" i="5"/>
  <c r="E730" i="5"/>
  <c r="X730" i="5" s="1"/>
  <c r="E1086" i="5"/>
  <c r="X1086" i="5" s="1"/>
  <c r="J869" i="5"/>
  <c r="R580" i="5"/>
  <c r="F1842" i="5"/>
  <c r="J1855" i="5"/>
  <c r="J1811" i="5"/>
  <c r="H1140" i="5"/>
  <c r="R1292" i="5"/>
  <c r="I888" i="5"/>
  <c r="G730" i="5"/>
  <c r="F738" i="5"/>
  <c r="H580" i="5"/>
  <c r="G2043" i="5"/>
  <c r="H1086" i="5"/>
  <c r="R869" i="5"/>
  <c r="J592" i="5"/>
  <c r="I2417" i="5"/>
  <c r="H1842" i="5"/>
  <c r="R1855" i="5"/>
  <c r="E1811" i="5"/>
  <c r="X1811" i="5" s="1"/>
  <c r="H1317" i="5"/>
  <c r="G1086" i="5"/>
  <c r="I979" i="5"/>
  <c r="E869" i="5"/>
  <c r="X869" i="5" s="1"/>
  <c r="F888" i="5"/>
  <c r="R730" i="5"/>
  <c r="E738" i="5"/>
  <c r="X738" i="5" s="1"/>
  <c r="F524" i="5"/>
  <c r="F1140" i="5"/>
  <c r="J580" i="5"/>
  <c r="E592" i="5"/>
  <c r="I1842" i="5"/>
  <c r="E1855" i="5"/>
  <c r="X1855" i="5" s="1"/>
  <c r="R1811" i="5"/>
  <c r="G1774" i="5"/>
  <c r="F1471" i="5"/>
  <c r="R1317" i="5"/>
  <c r="I1086" i="5"/>
  <c r="I869" i="5"/>
  <c r="G852" i="5"/>
  <c r="H730" i="5"/>
  <c r="H592" i="5"/>
  <c r="R411" i="5"/>
  <c r="H439" i="5"/>
  <c r="H411" i="5"/>
  <c r="E330" i="5"/>
  <c r="I730" i="5"/>
  <c r="R87" i="5"/>
  <c r="J1842" i="5"/>
  <c r="H1696" i="5"/>
  <c r="E1317" i="5"/>
  <c r="X1317" i="5" s="1"/>
  <c r="J1086" i="5"/>
  <c r="I524" i="5"/>
  <c r="R439" i="5"/>
  <c r="G2342" i="5"/>
  <c r="B30" i="6"/>
  <c r="G30" i="6" s="1"/>
  <c r="B41" i="6"/>
  <c r="G41" i="6" s="1"/>
  <c r="B31" i="6"/>
  <c r="G31" i="6" s="1"/>
  <c r="G644"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2325" i="5"/>
  <c r="X2325" i="5" s="1"/>
  <c r="H2012" i="5"/>
  <c r="F640" i="5"/>
  <c r="E556"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G2413" i="5"/>
  <c r="E2301" i="5"/>
  <c r="X2301" i="5" s="1"/>
  <c r="G1936" i="5"/>
  <c r="I1801" i="5"/>
  <c r="J1664" i="5"/>
  <c r="I1712" i="5"/>
  <c r="E1494" i="5"/>
  <c r="X1494" i="5" s="1"/>
  <c r="E1190" i="5"/>
  <c r="X1190" i="5" s="1"/>
  <c r="J1352" i="5"/>
  <c r="I1292" i="5"/>
  <c r="R875" i="5"/>
  <c r="G712" i="5"/>
  <c r="R738" i="5"/>
  <c r="E749" i="5"/>
  <c r="X749" i="5" s="1"/>
  <c r="I717" i="5"/>
  <c r="R718" i="5"/>
  <c r="F757" i="5"/>
  <c r="R207" i="5"/>
  <c r="E1510" i="5"/>
  <c r="X1510" i="5" s="1"/>
  <c r="F1190" i="5"/>
  <c r="I983" i="5"/>
  <c r="J1292" i="5"/>
  <c r="G974" i="5"/>
  <c r="E974" i="5"/>
  <c r="X974" i="5" s="1"/>
  <c r="F749" i="5"/>
  <c r="J717" i="5"/>
  <c r="H640" i="5"/>
  <c r="H588" i="5"/>
  <c r="R435" i="5"/>
  <c r="H431" i="5"/>
  <c r="F2061" i="5"/>
  <c r="H556" i="5"/>
  <c r="H2197"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G2381" i="5"/>
  <c r="J1527" i="5"/>
  <c r="I1527" i="5"/>
  <c r="H1527" i="5"/>
  <c r="E1527" i="5"/>
  <c r="X1527" i="5" s="1"/>
  <c r="F592" i="5"/>
  <c r="R592" i="5"/>
  <c r="I2386" i="5"/>
  <c r="H2405" i="5"/>
  <c r="H2180" i="5"/>
  <c r="R2100" i="5"/>
  <c r="R1940" i="5"/>
  <c r="G1761" i="5"/>
  <c r="R1867" i="5"/>
  <c r="J1193" i="5"/>
  <c r="G1304" i="5"/>
  <c r="F1145" i="5"/>
  <c r="F867" i="5"/>
  <c r="H1940"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R71" i="5"/>
  <c r="F2381" i="5"/>
  <c r="E2405" i="5"/>
  <c r="X2405" i="5" s="1"/>
  <c r="J2386" i="5"/>
  <c r="R2180" i="5"/>
  <c r="H2160" i="5"/>
  <c r="F2100" i="5"/>
  <c r="R1952" i="5"/>
  <c r="H2035" i="5"/>
  <c r="F1867" i="5"/>
  <c r="R1786" i="5"/>
  <c r="R1131" i="5"/>
  <c r="R1304" i="5"/>
  <c r="I971" i="5"/>
  <c r="F1074" i="5"/>
  <c r="F971" i="5"/>
  <c r="I817" i="5"/>
  <c r="I330" i="5"/>
  <c r="J379" i="5"/>
  <c r="G574" i="5"/>
  <c r="G1665" i="5"/>
  <c r="R2386" i="5"/>
  <c r="I2160" i="5"/>
  <c r="E1952" i="5"/>
  <c r="X1952" i="5" s="1"/>
  <c r="I2035" i="5"/>
  <c r="E1786" i="5"/>
  <c r="X1786" i="5" s="1"/>
  <c r="I1471" i="5"/>
  <c r="R1471" i="5"/>
  <c r="R971" i="5"/>
  <c r="H1145" i="5"/>
  <c r="H971" i="5"/>
  <c r="J817" i="5"/>
  <c r="R817" i="5"/>
  <c r="G971" i="5"/>
  <c r="G2289" i="5"/>
  <c r="G592" i="5"/>
  <c r="R1055" i="5"/>
  <c r="I891" i="5"/>
  <c r="H867" i="5"/>
  <c r="G915" i="5"/>
  <c r="G774" i="5"/>
  <c r="R712" i="5"/>
  <c r="R427"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R175" i="5"/>
  <c r="H808" i="5"/>
  <c r="J808" i="5"/>
  <c r="E808" i="5"/>
  <c r="X808" i="5" s="1"/>
  <c r="E644" i="5"/>
  <c r="X644" i="5" s="1"/>
  <c r="F644" i="5"/>
  <c r="I2265" i="5"/>
  <c r="R2265" i="5"/>
  <c r="J2265" i="5"/>
  <c r="E608" i="5"/>
  <c r="F608" i="5"/>
  <c r="J1138" i="5"/>
  <c r="E891" i="5"/>
  <c r="X891" i="5" s="1"/>
  <c r="I867" i="5"/>
  <c r="R915" i="5"/>
  <c r="R710" i="5"/>
  <c r="H664" i="5"/>
  <c r="H608" i="5"/>
  <c r="H407"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F580" i="5"/>
  <c r="H836" i="5"/>
  <c r="J836" i="5"/>
  <c r="R1158" i="5"/>
  <c r="J1158" i="5"/>
  <c r="I1158" i="5"/>
  <c r="R931" i="5"/>
  <c r="R1138" i="5"/>
  <c r="E867" i="5"/>
  <c r="X867" i="5" s="1"/>
  <c r="G891" i="5"/>
  <c r="G867" i="5"/>
  <c r="I679" i="5"/>
  <c r="J427" i="5"/>
  <c r="F2265" i="5"/>
  <c r="E2265" i="5"/>
  <c r="X2265" i="5" s="1"/>
  <c r="I2199" i="5"/>
  <c r="R2199" i="5"/>
  <c r="J2199" i="5"/>
  <c r="E1051" i="5"/>
  <c r="X1051" i="5" s="1"/>
  <c r="H1051" i="5"/>
  <c r="G1067" i="5"/>
  <c r="R578" i="5"/>
  <c r="F578" i="5"/>
  <c r="R306" i="5"/>
  <c r="G463" i="5"/>
  <c r="R243" i="5"/>
  <c r="J1761" i="5"/>
  <c r="I1510" i="5"/>
  <c r="E1464" i="5"/>
  <c r="X1464" i="5" s="1"/>
  <c r="F1138" i="5"/>
  <c r="F891" i="5"/>
  <c r="H2265" i="5"/>
  <c r="F974" i="5"/>
  <c r="I2397" i="5"/>
  <c r="F2397" i="5"/>
  <c r="I2253" i="5"/>
  <c r="R2253" i="5"/>
  <c r="J2253" i="5"/>
  <c r="H2253" i="5"/>
  <c r="G2199" i="5"/>
  <c r="I2257" i="5"/>
  <c r="J2257" i="5"/>
  <c r="J1403" i="5"/>
  <c r="H1403" i="5"/>
  <c r="G1492" i="5"/>
  <c r="R191" i="5"/>
  <c r="R103" i="5"/>
  <c r="R314" i="5"/>
  <c r="H314"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R239" i="5"/>
  <c r="I391" i="5"/>
  <c r="F391" i="5"/>
  <c r="F915" i="5"/>
  <c r="H712" i="5"/>
  <c r="H427" i="5"/>
  <c r="I2213" i="5"/>
  <c r="R2213" i="5"/>
  <c r="J2213" i="5"/>
  <c r="H2213" i="5"/>
  <c r="F2213" i="5"/>
  <c r="J2381" i="5"/>
  <c r="I2381" i="5"/>
  <c r="E2381" i="5"/>
  <c r="X2381" i="5" s="1"/>
  <c r="J1309" i="5"/>
  <c r="I1309" i="5"/>
  <c r="J1325" i="5"/>
  <c r="F1325" i="5"/>
  <c r="R43" i="5"/>
  <c r="R91"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I443" i="5"/>
  <c r="F443" i="5"/>
  <c r="R163"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J576" i="5"/>
  <c r="F576" i="5"/>
  <c r="R576" i="5"/>
  <c r="E423" i="5"/>
  <c r="I423" i="5"/>
  <c r="F423" i="5"/>
  <c r="F379" i="5"/>
  <c r="I379" i="5"/>
  <c r="R297"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R596" i="5"/>
  <c r="J596" i="5"/>
  <c r="F596" i="5"/>
  <c r="I365" i="5"/>
  <c r="H365" i="5"/>
  <c r="F365" i="5"/>
  <c r="E365" i="5"/>
  <c r="R365" i="5"/>
  <c r="J365" i="5"/>
  <c r="R279" i="5"/>
  <c r="R717" i="5"/>
  <c r="H717" i="5"/>
  <c r="R251" i="5"/>
  <c r="R293" i="5"/>
  <c r="J334" i="5"/>
  <c r="H334" i="5"/>
  <c r="E334" i="5"/>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I447" i="5"/>
  <c r="F447" i="5"/>
  <c r="E415" i="5"/>
  <c r="I415" i="5"/>
  <c r="F415" i="5"/>
  <c r="I752" i="5"/>
  <c r="F752" i="5"/>
  <c r="R602" i="5"/>
  <c r="F602" i="5"/>
  <c r="R261" i="5"/>
  <c r="R277" i="5"/>
  <c r="E600" i="5"/>
  <c r="R600" i="5"/>
  <c r="J600" i="5"/>
  <c r="T600" i="5" s="1"/>
  <c r="F600" i="5"/>
  <c r="R151"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I407" i="5"/>
  <c r="F407" i="5"/>
  <c r="R287" i="5"/>
  <c r="G423" i="5"/>
  <c r="E435" i="5"/>
  <c r="I435" i="5"/>
  <c r="F435" i="5"/>
  <c r="R211"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J588" i="5"/>
  <c r="F588" i="5"/>
  <c r="R588" i="5"/>
  <c r="J650" i="5"/>
  <c r="R650" i="5"/>
  <c r="F650" i="5"/>
  <c r="I670" i="5"/>
  <c r="R670" i="5"/>
  <c r="J670" i="5"/>
  <c r="F670" i="5"/>
  <c r="E670" i="5"/>
  <c r="X670" i="5" s="1"/>
  <c r="E472" i="5"/>
  <c r="J472" i="5"/>
  <c r="H472" i="5"/>
  <c r="F472" i="5"/>
  <c r="R472" i="5"/>
  <c r="G472" i="5"/>
  <c r="E439" i="5"/>
  <c r="I439" i="5"/>
  <c r="F439" i="5"/>
  <c r="R305" i="5"/>
  <c r="G407"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I419" i="5"/>
  <c r="F419" i="5"/>
  <c r="I395" i="5"/>
  <c r="F395" i="5"/>
  <c r="E411" i="5"/>
  <c r="I411" i="5"/>
  <c r="F41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G814" i="5"/>
  <c r="G576" i="5"/>
  <c r="E431" i="5"/>
  <c r="I431" i="5"/>
  <c r="F431" i="5"/>
  <c r="E427" i="5"/>
  <c r="I427" i="5"/>
  <c r="F427" i="5"/>
  <c r="G443" i="5"/>
  <c r="G379" i="5"/>
  <c r="F26" i="6"/>
  <c r="X18" i="5"/>
  <c r="B52" i="6"/>
  <c r="G52" i="6" s="1"/>
  <c r="B37" i="6"/>
  <c r="G37" i="6" s="1"/>
  <c r="B42" i="6"/>
  <c r="G42" i="6" s="1"/>
  <c r="B40" i="6"/>
  <c r="G40" i="6" s="1"/>
  <c r="B50" i="6"/>
  <c r="G50" i="6" s="1"/>
  <c r="B25" i="6"/>
  <c r="G25" i="6" s="1"/>
  <c r="B35" i="6"/>
  <c r="G35" i="6" s="1"/>
  <c r="X6" i="5"/>
  <c r="B39" i="6"/>
  <c r="G39" i="6" s="1"/>
  <c r="F24" i="6"/>
  <c r="C14" i="6"/>
  <c r="B44" i="6"/>
  <c r="G44" i="6" s="1"/>
  <c r="G32" i="6"/>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R605" i="5"/>
  <c r="J605" i="5"/>
  <c r="T605" i="5" s="1"/>
  <c r="E595" i="5"/>
  <c r="R595" i="5"/>
  <c r="J595" i="5"/>
  <c r="F595" i="5"/>
  <c r="I595" i="5"/>
  <c r="H595" i="5"/>
  <c r="R583" i="5"/>
  <c r="J583" i="5"/>
  <c r="F583" i="5"/>
  <c r="I583" i="5"/>
  <c r="H583" i="5"/>
  <c r="E583" i="5"/>
  <c r="R567" i="5"/>
  <c r="J567" i="5"/>
  <c r="F567" i="5"/>
  <c r="I567" i="5"/>
  <c r="H567" i="5"/>
  <c r="E567" i="5"/>
  <c r="F529" i="5"/>
  <c r="R529" i="5"/>
  <c r="J529" i="5"/>
  <c r="I529" i="5"/>
  <c r="H529" i="5"/>
  <c r="E529" i="5"/>
  <c r="I486" i="5"/>
  <c r="H486" i="5"/>
  <c r="E486" i="5"/>
  <c r="F486" i="5"/>
  <c r="R486" i="5"/>
  <c r="J486" i="5"/>
  <c r="R467" i="5"/>
  <c r="J467" i="5"/>
  <c r="G467" i="5"/>
  <c r="F467" i="5"/>
  <c r="E467" i="5"/>
  <c r="I467" i="5"/>
  <c r="H467" i="5"/>
  <c r="F521" i="5"/>
  <c r="R521" i="5"/>
  <c r="J521" i="5"/>
  <c r="I521" i="5"/>
  <c r="H521" i="5"/>
  <c r="E521" i="5"/>
  <c r="F469" i="5"/>
  <c r="J469" i="5"/>
  <c r="I469" i="5"/>
  <c r="H469" i="5"/>
  <c r="E469" i="5"/>
  <c r="R469" i="5"/>
  <c r="F541" i="5"/>
  <c r="R541" i="5"/>
  <c r="J541" i="5"/>
  <c r="I541" i="5"/>
  <c r="H541" i="5"/>
  <c r="E541" i="5"/>
  <c r="F509" i="5"/>
  <c r="R509" i="5"/>
  <c r="J509" i="5"/>
  <c r="I509" i="5"/>
  <c r="H509" i="5"/>
  <c r="E509" i="5"/>
  <c r="I466" i="5"/>
  <c r="H466" i="5"/>
  <c r="R466" i="5"/>
  <c r="J466" i="5"/>
  <c r="F466" i="5"/>
  <c r="E466" i="5"/>
  <c r="R378" i="5"/>
  <c r="I378" i="5"/>
  <c r="H378" i="5"/>
  <c r="F378" i="5"/>
  <c r="G378" i="5"/>
  <c r="J378" i="5"/>
  <c r="E378" i="5"/>
  <c r="E340" i="5"/>
  <c r="J340" i="5"/>
  <c r="R340" i="5"/>
  <c r="I340" i="5"/>
  <c r="H340" i="5"/>
  <c r="F340" i="5"/>
  <c r="R394" i="5"/>
  <c r="J394" i="5"/>
  <c r="I394" i="5"/>
  <c r="H394" i="5"/>
  <c r="F394" i="5"/>
  <c r="E394" i="5"/>
  <c r="G394" i="5"/>
  <c r="R374" i="5"/>
  <c r="I374" i="5"/>
  <c r="H374" i="5"/>
  <c r="F374" i="5"/>
  <c r="J374" i="5"/>
  <c r="G374" i="5"/>
  <c r="E374" i="5"/>
  <c r="E355" i="5"/>
  <c r="R355" i="5"/>
  <c r="J355" i="5"/>
  <c r="H355" i="5"/>
  <c r="F355" i="5"/>
  <c r="I355" i="5"/>
  <c r="E324" i="5"/>
  <c r="J324" i="5"/>
  <c r="R324" i="5"/>
  <c r="H324" i="5"/>
  <c r="G324" i="5"/>
  <c r="F324" i="5"/>
  <c r="I324" i="5"/>
  <c r="R300" i="5"/>
  <c r="R292" i="5"/>
  <c r="R284" i="5"/>
  <c r="R276" i="5"/>
  <c r="R268" i="5"/>
  <c r="R260" i="5"/>
  <c r="R252" i="5"/>
  <c r="R244" i="5"/>
  <c r="R236" i="5"/>
  <c r="R228" i="5"/>
  <c r="R132" i="5"/>
  <c r="R402" i="5"/>
  <c r="J402" i="5"/>
  <c r="I402" i="5"/>
  <c r="H402" i="5"/>
  <c r="F402" i="5"/>
  <c r="E402" i="5"/>
  <c r="G355" i="5"/>
  <c r="R204" i="5"/>
  <c r="R116" i="5"/>
  <c r="R104"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R601" i="5"/>
  <c r="J601" i="5"/>
  <c r="T601" i="5" s="1"/>
  <c r="G595" i="5"/>
  <c r="G583" i="5"/>
  <c r="G567" i="5"/>
  <c r="E591" i="5"/>
  <c r="R591" i="5"/>
  <c r="J591" i="5"/>
  <c r="F591" i="5"/>
  <c r="I591" i="5"/>
  <c r="H591" i="5"/>
  <c r="H577" i="5"/>
  <c r="F577" i="5"/>
  <c r="R577" i="5"/>
  <c r="J577" i="5"/>
  <c r="E577" i="5"/>
  <c r="I577" i="5"/>
  <c r="I534" i="5"/>
  <c r="H534" i="5"/>
  <c r="E534" i="5"/>
  <c r="F534" i="5"/>
  <c r="R534" i="5"/>
  <c r="J534" i="5"/>
  <c r="F537" i="5"/>
  <c r="R537" i="5"/>
  <c r="J537" i="5"/>
  <c r="I537" i="5"/>
  <c r="H537" i="5"/>
  <c r="E537" i="5"/>
  <c r="I538" i="5"/>
  <c r="H538" i="5"/>
  <c r="E538" i="5"/>
  <c r="J538" i="5"/>
  <c r="G538" i="5"/>
  <c r="F538" i="5"/>
  <c r="R538" i="5"/>
  <c r="I522" i="5"/>
  <c r="H522" i="5"/>
  <c r="E522" i="5"/>
  <c r="J522" i="5"/>
  <c r="G522" i="5"/>
  <c r="F522" i="5"/>
  <c r="R522" i="5"/>
  <c r="I506" i="5"/>
  <c r="H506" i="5"/>
  <c r="E506" i="5"/>
  <c r="J506" i="5"/>
  <c r="G506" i="5"/>
  <c r="F506" i="5"/>
  <c r="R506" i="5"/>
  <c r="I490" i="5"/>
  <c r="H490" i="5"/>
  <c r="E490" i="5"/>
  <c r="J490" i="5"/>
  <c r="G490" i="5"/>
  <c r="F490" i="5"/>
  <c r="R490" i="5"/>
  <c r="R398" i="5"/>
  <c r="J398" i="5"/>
  <c r="I398" i="5"/>
  <c r="H398" i="5"/>
  <c r="F398" i="5"/>
  <c r="G398" i="5"/>
  <c r="E398" i="5"/>
  <c r="R362" i="5"/>
  <c r="I362" i="5"/>
  <c r="H362" i="5"/>
  <c r="F362" i="5"/>
  <c r="J362" i="5"/>
  <c r="G362" i="5"/>
  <c r="E362" i="5"/>
  <c r="R184" i="5"/>
  <c r="E328" i="5"/>
  <c r="J328" i="5"/>
  <c r="F328" i="5"/>
  <c r="R328" i="5"/>
  <c r="I328" i="5"/>
  <c r="H328" i="5"/>
  <c r="R220" i="5"/>
  <c r="R176"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R611" i="5"/>
  <c r="J611" i="5"/>
  <c r="T611" i="5" s="1"/>
  <c r="I611" i="5"/>
  <c r="H611" i="5"/>
  <c r="F611" i="5"/>
  <c r="I502" i="5"/>
  <c r="H502" i="5"/>
  <c r="E502" i="5"/>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F518" i="5"/>
  <c r="R518" i="5"/>
  <c r="J518" i="5"/>
  <c r="F493" i="5"/>
  <c r="R493" i="5"/>
  <c r="J493" i="5"/>
  <c r="I493" i="5"/>
  <c r="H493" i="5"/>
  <c r="E493" i="5"/>
  <c r="G502" i="5"/>
  <c r="E442" i="5"/>
  <c r="R442" i="5"/>
  <c r="J442" i="5"/>
  <c r="I442" i="5"/>
  <c r="H442" i="5"/>
  <c r="G442" i="5"/>
  <c r="F442" i="5"/>
  <c r="R410" i="5"/>
  <c r="J410" i="5"/>
  <c r="I410" i="5"/>
  <c r="H410" i="5"/>
  <c r="F410" i="5"/>
  <c r="G410" i="5"/>
  <c r="E410" i="5"/>
  <c r="R216" i="5"/>
  <c r="R120" i="5"/>
  <c r="R140" i="5"/>
  <c r="R192" i="5"/>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I575" i="5"/>
  <c r="H575" i="5"/>
  <c r="F545" i="5"/>
  <c r="R545" i="5"/>
  <c r="J545" i="5"/>
  <c r="I545" i="5"/>
  <c r="H545" i="5"/>
  <c r="E545" i="5"/>
  <c r="F473" i="5"/>
  <c r="R473" i="5"/>
  <c r="J473" i="5"/>
  <c r="I473" i="5"/>
  <c r="H473" i="5"/>
  <c r="E473" i="5"/>
  <c r="F517" i="5"/>
  <c r="R517" i="5"/>
  <c r="H517" i="5"/>
  <c r="E517" i="5"/>
  <c r="J517" i="5"/>
  <c r="I517" i="5"/>
  <c r="R475" i="5"/>
  <c r="J475" i="5"/>
  <c r="G475" i="5"/>
  <c r="F475" i="5"/>
  <c r="E475" i="5"/>
  <c r="I475" i="5"/>
  <c r="H475" i="5"/>
  <c r="F525" i="5"/>
  <c r="R525" i="5"/>
  <c r="J525" i="5"/>
  <c r="I525" i="5"/>
  <c r="H525" i="5"/>
  <c r="E525" i="5"/>
  <c r="F477" i="5"/>
  <c r="R477" i="5"/>
  <c r="J477" i="5"/>
  <c r="I477" i="5"/>
  <c r="H477" i="5"/>
  <c r="E477" i="5"/>
  <c r="H585" i="5"/>
  <c r="F585" i="5"/>
  <c r="R585" i="5"/>
  <c r="J585" i="5"/>
  <c r="I585" i="5"/>
  <c r="E585" i="5"/>
  <c r="R346" i="5"/>
  <c r="I346" i="5"/>
  <c r="H346" i="5"/>
  <c r="F346" i="5"/>
  <c r="G346" i="5"/>
  <c r="J346" i="5"/>
  <c r="E346" i="5"/>
  <c r="R366" i="5"/>
  <c r="I366" i="5"/>
  <c r="H366" i="5"/>
  <c r="F366" i="5"/>
  <c r="J366" i="5"/>
  <c r="E366" i="5"/>
  <c r="G366" i="5"/>
  <c r="R390" i="5"/>
  <c r="J390" i="5"/>
  <c r="I390" i="5"/>
  <c r="H390" i="5"/>
  <c r="F390" i="5"/>
  <c r="E390" i="5"/>
  <c r="R386" i="5"/>
  <c r="J386" i="5"/>
  <c r="I386" i="5"/>
  <c r="H386" i="5"/>
  <c r="F386" i="5"/>
  <c r="G386" i="5"/>
  <c r="E386" i="5"/>
  <c r="E367" i="5"/>
  <c r="R367" i="5"/>
  <c r="J367" i="5"/>
  <c r="H367" i="5"/>
  <c r="I367" i="5"/>
  <c r="F367" i="5"/>
  <c r="G367" i="5"/>
  <c r="R342" i="5"/>
  <c r="I342" i="5"/>
  <c r="H342" i="5"/>
  <c r="F342" i="5"/>
  <c r="J342" i="5"/>
  <c r="G342" i="5"/>
  <c r="E342" i="5"/>
  <c r="R296" i="5"/>
  <c r="R288" i="5"/>
  <c r="R280" i="5"/>
  <c r="R272" i="5"/>
  <c r="R264" i="5"/>
  <c r="R256" i="5"/>
  <c r="R248" i="5"/>
  <c r="R240" i="5"/>
  <c r="R232" i="5"/>
  <c r="R224" i="5"/>
  <c r="R382" i="5"/>
  <c r="I382" i="5"/>
  <c r="H382" i="5"/>
  <c r="F382" i="5"/>
  <c r="J382" i="5"/>
  <c r="T382" i="5" s="1"/>
  <c r="G382" i="5"/>
  <c r="E382" i="5"/>
  <c r="E359" i="5"/>
  <c r="R359" i="5"/>
  <c r="J359" i="5"/>
  <c r="H359" i="5"/>
  <c r="F359" i="5"/>
  <c r="I359" i="5"/>
  <c r="R196" i="5"/>
  <c r="R208" i="5"/>
  <c r="R144"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R603" i="5"/>
  <c r="J603" i="5"/>
  <c r="T603" i="5" s="1"/>
  <c r="I603" i="5"/>
  <c r="H603" i="5"/>
  <c r="F603" i="5"/>
  <c r="H565" i="5"/>
  <c r="F565" i="5"/>
  <c r="R565" i="5"/>
  <c r="J565" i="5"/>
  <c r="I565" i="5"/>
  <c r="E565" i="5"/>
  <c r="F501" i="5"/>
  <c r="R501" i="5"/>
  <c r="H501" i="5"/>
  <c r="E501" i="5"/>
  <c r="J501" i="5"/>
  <c r="I501" i="5"/>
  <c r="H557" i="5"/>
  <c r="F557" i="5"/>
  <c r="R557" i="5"/>
  <c r="J557" i="5"/>
  <c r="I557" i="5"/>
  <c r="E557" i="5"/>
  <c r="I462" i="5"/>
  <c r="R462" i="5"/>
  <c r="J462" i="5"/>
  <c r="H462" i="5"/>
  <c r="F462" i="5"/>
  <c r="E462" i="5"/>
  <c r="E460" i="5"/>
  <c r="R460" i="5"/>
  <c r="J460" i="5"/>
  <c r="I460" i="5"/>
  <c r="H460" i="5"/>
  <c r="F460" i="5"/>
  <c r="E375" i="5"/>
  <c r="R375" i="5"/>
  <c r="J375" i="5"/>
  <c r="H375" i="5"/>
  <c r="I375" i="5"/>
  <c r="G375" i="5"/>
  <c r="F375" i="5"/>
  <c r="R124" i="5"/>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F465" i="5"/>
  <c r="R465" i="5"/>
  <c r="J465" i="5"/>
  <c r="I465" i="5"/>
  <c r="H465" i="5"/>
  <c r="E465" i="5"/>
  <c r="H561" i="5"/>
  <c r="F561" i="5"/>
  <c r="R561" i="5"/>
  <c r="E561" i="5"/>
  <c r="J561" i="5"/>
  <c r="I561" i="5"/>
  <c r="H549" i="5"/>
  <c r="F549" i="5"/>
  <c r="R549" i="5"/>
  <c r="I549" i="5"/>
  <c r="E549" i="5"/>
  <c r="J549" i="5"/>
  <c r="F489" i="5"/>
  <c r="R489" i="5"/>
  <c r="J489" i="5"/>
  <c r="I489" i="5"/>
  <c r="H489" i="5"/>
  <c r="E489" i="5"/>
  <c r="E434" i="5"/>
  <c r="R434" i="5"/>
  <c r="J434" i="5"/>
  <c r="I434" i="5"/>
  <c r="H434" i="5"/>
  <c r="G434" i="5"/>
  <c r="F434" i="5"/>
  <c r="E426" i="5"/>
  <c r="R426" i="5"/>
  <c r="J426" i="5"/>
  <c r="I426" i="5"/>
  <c r="H426" i="5"/>
  <c r="G426" i="5"/>
  <c r="F426" i="5"/>
  <c r="R370" i="5"/>
  <c r="I370" i="5"/>
  <c r="H370" i="5"/>
  <c r="F370" i="5"/>
  <c r="J370" i="5"/>
  <c r="E370" i="5"/>
  <c r="R358" i="5"/>
  <c r="I358" i="5"/>
  <c r="H358" i="5"/>
  <c r="F358" i="5"/>
  <c r="E358" i="5"/>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R607" i="5"/>
  <c r="J607" i="5"/>
  <c r="T607" i="5" s="1"/>
  <c r="I607" i="5"/>
  <c r="H607" i="5"/>
  <c r="F607" i="5"/>
  <c r="E599" i="5"/>
  <c r="R599" i="5"/>
  <c r="J599" i="5"/>
  <c r="T599" i="5" s="1"/>
  <c r="I599" i="5"/>
  <c r="H599" i="5"/>
  <c r="F599" i="5"/>
  <c r="G545" i="5"/>
  <c r="F513" i="5"/>
  <c r="R513" i="5"/>
  <c r="J513" i="5"/>
  <c r="I513" i="5"/>
  <c r="H513" i="5"/>
  <c r="E513" i="5"/>
  <c r="G473" i="5"/>
  <c r="G517" i="5"/>
  <c r="J554" i="5"/>
  <c r="I554" i="5"/>
  <c r="H554" i="5"/>
  <c r="E554" i="5"/>
  <c r="R554" i="5"/>
  <c r="F554" i="5"/>
  <c r="H581" i="5"/>
  <c r="F581" i="5"/>
  <c r="R581" i="5"/>
  <c r="J581" i="5"/>
  <c r="I581" i="5"/>
  <c r="E581" i="5"/>
  <c r="F505" i="5"/>
  <c r="R505" i="5"/>
  <c r="J505" i="5"/>
  <c r="I505" i="5"/>
  <c r="H505" i="5"/>
  <c r="E505" i="5"/>
  <c r="G525" i="5"/>
  <c r="G477" i="5"/>
  <c r="I597" i="5"/>
  <c r="H597" i="5"/>
  <c r="F597" i="5"/>
  <c r="R597" i="5"/>
  <c r="J597" i="5"/>
  <c r="T597" i="5" s="1"/>
  <c r="E597" i="5"/>
  <c r="G585" i="5"/>
  <c r="G518" i="5"/>
  <c r="G390" i="5"/>
  <c r="R354" i="5"/>
  <c r="I354" i="5"/>
  <c r="H354" i="5"/>
  <c r="F354" i="5"/>
  <c r="E354" i="5"/>
  <c r="J354" i="5"/>
  <c r="E316" i="5"/>
  <c r="J316" i="5"/>
  <c r="R316" i="5"/>
  <c r="H316" i="5"/>
  <c r="G316" i="5"/>
  <c r="F316" i="5"/>
  <c r="I316" i="5"/>
  <c r="R172" i="5"/>
  <c r="R160" i="5"/>
  <c r="R180" i="5"/>
  <c r="R200" i="5"/>
  <c r="R156" i="5"/>
  <c r="R308" i="5"/>
  <c r="R100" i="5"/>
  <c r="E312" i="5"/>
  <c r="J312" i="5"/>
  <c r="F312" i="5"/>
  <c r="R312" i="5"/>
  <c r="I312" i="5"/>
  <c r="H312" i="5"/>
  <c r="R188"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E458" i="5"/>
  <c r="R458" i="5"/>
  <c r="J458" i="5"/>
  <c r="I458" i="5"/>
  <c r="H458" i="5"/>
  <c r="G458" i="5"/>
  <c r="F458" i="5"/>
  <c r="E450" i="5"/>
  <c r="R450" i="5"/>
  <c r="J450" i="5"/>
  <c r="I450" i="5"/>
  <c r="H450" i="5"/>
  <c r="G450" i="5"/>
  <c r="F450" i="5"/>
  <c r="E418" i="5"/>
  <c r="R418" i="5"/>
  <c r="J418" i="5"/>
  <c r="I418" i="5"/>
  <c r="H418" i="5"/>
  <c r="G418" i="5"/>
  <c r="F418" i="5"/>
  <c r="R406" i="5"/>
  <c r="J406" i="5"/>
  <c r="I406" i="5"/>
  <c r="H406" i="5"/>
  <c r="F406" i="5"/>
  <c r="E406" i="5"/>
  <c r="R148" i="5"/>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I587" i="5"/>
  <c r="R571" i="5"/>
  <c r="J571" i="5"/>
  <c r="F571" i="5"/>
  <c r="I571" i="5"/>
  <c r="H571" i="5"/>
  <c r="E571" i="5"/>
  <c r="H589" i="5"/>
  <c r="F589" i="5"/>
  <c r="R589" i="5"/>
  <c r="J589" i="5"/>
  <c r="I589" i="5"/>
  <c r="E589" i="5"/>
  <c r="F485" i="5"/>
  <c r="R485" i="5"/>
  <c r="H485" i="5"/>
  <c r="E485" i="5"/>
  <c r="J485" i="5"/>
  <c r="I485" i="5"/>
  <c r="G460" i="5"/>
  <c r="H553" i="5"/>
  <c r="F553" i="5"/>
  <c r="R553" i="5"/>
  <c r="J553" i="5"/>
  <c r="I553" i="5"/>
  <c r="E553" i="5"/>
  <c r="E454" i="5"/>
  <c r="R454" i="5"/>
  <c r="J454" i="5"/>
  <c r="I454" i="5"/>
  <c r="H454" i="5"/>
  <c r="G454" i="5"/>
  <c r="F454" i="5"/>
  <c r="E446" i="5"/>
  <c r="R446" i="5"/>
  <c r="J446" i="5"/>
  <c r="I446" i="5"/>
  <c r="H446" i="5"/>
  <c r="G446" i="5"/>
  <c r="F446" i="5"/>
  <c r="E438" i="5"/>
  <c r="R438" i="5"/>
  <c r="J438" i="5"/>
  <c r="I438" i="5"/>
  <c r="H438" i="5"/>
  <c r="G438" i="5"/>
  <c r="F438" i="5"/>
  <c r="E430" i="5"/>
  <c r="R430" i="5"/>
  <c r="J430" i="5"/>
  <c r="I430" i="5"/>
  <c r="H430" i="5"/>
  <c r="G430" i="5"/>
  <c r="F430" i="5"/>
  <c r="E422" i="5"/>
  <c r="R422" i="5"/>
  <c r="J422" i="5"/>
  <c r="I422" i="5"/>
  <c r="H422" i="5"/>
  <c r="G422" i="5"/>
  <c r="F422" i="5"/>
  <c r="E414" i="5"/>
  <c r="R414" i="5"/>
  <c r="J414" i="5"/>
  <c r="I414" i="5"/>
  <c r="H414" i="5"/>
  <c r="F414" i="5"/>
  <c r="G414" i="5"/>
  <c r="R164" i="5"/>
  <c r="E339" i="5"/>
  <c r="R339" i="5"/>
  <c r="H339" i="5"/>
  <c r="F339" i="5"/>
  <c r="J339" i="5"/>
  <c r="I339" i="5"/>
  <c r="R152" i="5"/>
  <c r="R212" i="5"/>
  <c r="R168" i="5"/>
  <c r="A16" i="6"/>
  <c r="B34" i="4"/>
  <c r="A21" i="6" s="1"/>
  <c r="F44" i="6"/>
  <c r="H44" i="6" s="1"/>
  <c r="D44" i="6" s="1"/>
  <c r="F34" i="6"/>
  <c r="F39" i="6"/>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F481" i="5"/>
  <c r="R481" i="5"/>
  <c r="J481" i="5"/>
  <c r="I481" i="5"/>
  <c r="H481" i="5"/>
  <c r="E481" i="5"/>
  <c r="G589" i="5"/>
  <c r="F533" i="5"/>
  <c r="R533" i="5"/>
  <c r="H533" i="5"/>
  <c r="E533" i="5"/>
  <c r="J533" i="5"/>
  <c r="T533" i="5" s="1"/>
  <c r="I533" i="5"/>
  <c r="G485" i="5"/>
  <c r="H569" i="5"/>
  <c r="F569" i="5"/>
  <c r="R569" i="5"/>
  <c r="J569" i="5"/>
  <c r="I569" i="5"/>
  <c r="E569" i="5"/>
  <c r="H573" i="5"/>
  <c r="F573" i="5"/>
  <c r="R573" i="5"/>
  <c r="J573" i="5"/>
  <c r="I573" i="5"/>
  <c r="E573" i="5"/>
  <c r="I474" i="5"/>
  <c r="H474" i="5"/>
  <c r="R474" i="5"/>
  <c r="J474" i="5"/>
  <c r="F474" i="5"/>
  <c r="E474" i="5"/>
  <c r="G553" i="5"/>
  <c r="R350" i="5"/>
  <c r="I350" i="5"/>
  <c r="H350" i="5"/>
  <c r="F350" i="5"/>
  <c r="J350" i="5"/>
  <c r="E350" i="5"/>
  <c r="R108" i="5"/>
  <c r="R128" i="5"/>
  <c r="R136" i="5"/>
  <c r="E320" i="5"/>
  <c r="J320" i="5"/>
  <c r="F320" i="5"/>
  <c r="R320" i="5"/>
  <c r="I320" i="5"/>
  <c r="H320" i="5"/>
  <c r="R112" i="5"/>
  <c r="S566" i="5"/>
  <c r="S412" i="5"/>
  <c r="S363" i="5"/>
  <c r="S542" i="5"/>
  <c r="S360" i="5"/>
  <c r="S482" i="5"/>
  <c r="S546" i="5"/>
  <c r="S353" i="5"/>
  <c r="S563" i="5"/>
  <c r="S459" i="5"/>
  <c r="S327" i="5"/>
  <c r="S311" i="5"/>
  <c r="S373" i="5"/>
  <c r="S499" i="5"/>
  <c r="S455" i="5"/>
  <c r="S495" i="5"/>
  <c r="T574" i="5"/>
  <c r="T403" i="5"/>
  <c r="T580" i="5"/>
  <c r="T435" i="5"/>
  <c r="T431" i="5"/>
  <c r="T529" i="5"/>
  <c r="T469" i="5"/>
  <c r="T537" i="5"/>
  <c r="T518" i="5"/>
  <c r="T410" i="5"/>
  <c r="T575" i="5"/>
  <c r="T475" i="5"/>
  <c r="T525" i="5"/>
  <c r="T406" i="5"/>
  <c r="T339" i="5"/>
  <c r="T350" i="5"/>
  <c r="T569" i="5"/>
  <c r="S508" i="5"/>
  <c r="S384" i="5"/>
  <c r="S523" i="5"/>
  <c r="S332" i="5"/>
  <c r="S535" i="5"/>
  <c r="S476" i="5"/>
  <c r="S336" i="5"/>
  <c r="S329" i="5"/>
  <c r="S371" i="5"/>
  <c r="S351" i="5"/>
  <c r="T463" i="5"/>
  <c r="T562" i="5"/>
  <c r="T592" i="5"/>
  <c r="T306" i="5"/>
  <c r="T423" i="5"/>
  <c r="T588" i="5"/>
  <c r="T567" i="5"/>
  <c r="T486" i="5"/>
  <c r="T324" i="5"/>
  <c r="T398" i="5"/>
  <c r="T502" i="5"/>
  <c r="T296" i="5"/>
  <c r="T501" i="5"/>
  <c r="T460" i="5"/>
  <c r="T553" i="5"/>
  <c r="T414" i="5"/>
  <c r="S492" i="5"/>
  <c r="S322" i="5"/>
  <c r="S456" i="5"/>
  <c r="S376" i="5"/>
  <c r="S504" i="5"/>
  <c r="S323" i="5"/>
  <c r="S483" i="5"/>
  <c r="S488" i="5"/>
  <c r="S590" i="5"/>
  <c r="S368" i="5"/>
  <c r="S530" i="5"/>
  <c r="S480" i="5"/>
  <c r="S531" i="5"/>
  <c r="S399" i="5"/>
  <c r="S345" i="5"/>
  <c r="S321" i="5"/>
  <c r="T447" i="5"/>
  <c r="T439" i="5"/>
  <c r="T303" i="5"/>
  <c r="T379" i="5"/>
  <c r="T290" i="5"/>
  <c r="T402" i="5"/>
  <c r="T442" i="5"/>
  <c r="T565" i="5"/>
  <c r="T549" i="5"/>
  <c r="T426" i="5"/>
  <c r="T358" i="5"/>
  <c r="T422" i="5"/>
  <c r="S528" i="5"/>
  <c r="S516" i="5"/>
  <c r="S594" i="5"/>
  <c r="S507" i="5"/>
  <c r="S333" i="5"/>
  <c r="S451" i="5"/>
  <c r="S335" i="5"/>
  <c r="S317" i="5"/>
  <c r="T578" i="5"/>
  <c r="T395" i="5"/>
  <c r="T411" i="5"/>
  <c r="T496" i="5"/>
  <c r="T583" i="5"/>
  <c r="T467" i="5"/>
  <c r="T521" i="5"/>
  <c r="T362" i="5"/>
  <c r="T493" i="5"/>
  <c r="T366" i="5"/>
  <c r="T462" i="5"/>
  <c r="T465" i="5"/>
  <c r="T561" i="5"/>
  <c r="T434" i="5"/>
  <c r="T370" i="5"/>
  <c r="T505" i="5"/>
  <c r="T450" i="5"/>
  <c r="T485" i="5"/>
  <c r="T430" i="5"/>
  <c r="T571" i="5"/>
  <c r="T438" i="5"/>
  <c r="T312" i="5"/>
  <c r="T481" i="5"/>
  <c r="S582" i="5"/>
  <c r="S500" i="5"/>
  <c r="S347" i="5"/>
  <c r="S512" i="5"/>
  <c r="S503" i="5"/>
  <c r="S478" i="5"/>
  <c r="S326" i="5"/>
  <c r="S514" i="5"/>
  <c r="S558" i="5"/>
  <c r="S387" i="5"/>
  <c r="S559" i="5"/>
  <c r="S487" i="5"/>
  <c r="S551" i="5"/>
  <c r="S519" i="5"/>
  <c r="S319" i="5"/>
  <c r="T608" i="5"/>
  <c r="T365" i="5"/>
  <c r="T466" i="5"/>
  <c r="T378" i="5"/>
  <c r="T355" i="5"/>
  <c r="T490" i="5"/>
  <c r="T579" i="5"/>
  <c r="T609" i="5"/>
  <c r="T316" i="5"/>
  <c r="T308" i="5"/>
  <c r="T458" i="5"/>
  <c r="T589" i="5"/>
  <c r="T474" i="5"/>
  <c r="T418" i="5"/>
  <c r="S547" i="5"/>
  <c r="S544" i="5"/>
  <c r="S526" i="5"/>
  <c r="S318" i="5"/>
  <c r="S379" i="5"/>
  <c r="S331" i="5"/>
  <c r="T419" i="5"/>
  <c r="T330" i="5"/>
  <c r="T596" i="5"/>
  <c r="T472" i="5"/>
  <c r="T509" i="5"/>
  <c r="T394" i="5"/>
  <c r="T292" i="5"/>
  <c r="T577" i="5"/>
  <c r="T534" i="5"/>
  <c r="T506" i="5"/>
  <c r="T328" i="5"/>
  <c r="T473" i="5"/>
  <c r="T517" i="5"/>
  <c r="T585" i="5"/>
  <c r="T346" i="5"/>
  <c r="T386" i="5"/>
  <c r="T367" i="5"/>
  <c r="T489" i="5"/>
  <c r="T554" i="5"/>
  <c r="T446" i="5"/>
  <c r="S540" i="5"/>
  <c r="S520" i="5"/>
  <c r="S550" i="5"/>
  <c r="S338" i="5"/>
  <c r="S536" i="5"/>
  <c r="S498" i="5"/>
  <c r="S484" i="5"/>
  <c r="S471" i="5"/>
  <c r="S515" i="5"/>
  <c r="S313" i="5"/>
  <c r="T595" i="5"/>
  <c r="T591" i="5"/>
  <c r="T522" i="5"/>
  <c r="T477" i="5"/>
  <c r="T342" i="5"/>
  <c r="T359" i="5"/>
  <c r="T557" i="5"/>
  <c r="T581" i="5"/>
  <c r="T497" i="5"/>
  <c r="T587" i="5"/>
  <c r="T454" i="5"/>
  <c r="T593" i="5"/>
  <c r="S337" i="5"/>
  <c r="S555" i="5"/>
  <c r="S570" i="5"/>
  <c r="S325" i="5"/>
  <c r="S527" i="5"/>
  <c r="S369" i="5"/>
  <c r="S381" i="5"/>
  <c r="T391" i="5"/>
  <c r="T407" i="5"/>
  <c r="T427" i="5"/>
  <c r="T576" i="5"/>
  <c r="T334" i="5"/>
  <c r="T524" i="5"/>
  <c r="T541" i="5"/>
  <c r="T340" i="5"/>
  <c r="T374" i="5"/>
  <c r="T538" i="5"/>
  <c r="T545" i="5"/>
  <c r="T390" i="5"/>
  <c r="T288" i="5"/>
  <c r="T375" i="5"/>
  <c r="T513" i="5"/>
  <c r="T354" i="5"/>
  <c r="T573" i="5"/>
  <c r="T320" i="5"/>
  <c r="S117" i="5"/>
  <c r="T279" i="5"/>
  <c r="S158" i="5"/>
  <c r="S209" i="5"/>
  <c r="S107" i="5"/>
  <c r="S46" i="5"/>
  <c r="S246" i="5"/>
  <c r="T216" i="5"/>
  <c r="S114" i="5"/>
  <c r="S250" i="5"/>
  <c r="S202" i="5"/>
  <c r="S217" i="5"/>
  <c r="S149" i="5"/>
  <c r="S80" i="5"/>
  <c r="T128" i="5"/>
  <c r="S218" i="5"/>
  <c r="S63" i="5"/>
  <c r="S226" i="5"/>
  <c r="S238" i="5"/>
  <c r="S20" i="5"/>
  <c r="S48" i="5"/>
  <c r="S310" i="5"/>
  <c r="S206" i="5"/>
  <c r="T116" i="5"/>
  <c r="S40" i="5"/>
  <c r="T232" i="5"/>
  <c r="S24" i="5"/>
  <c r="S258" i="5"/>
  <c r="T207" i="5"/>
  <c r="S282" i="5"/>
  <c r="T236" i="5"/>
  <c r="T152" i="5"/>
  <c r="T248" i="5"/>
  <c r="S56" i="5"/>
  <c r="T100" i="5"/>
  <c r="S205" i="5"/>
  <c r="S92" i="5"/>
  <c r="T277" i="5"/>
  <c r="S66" i="5"/>
  <c r="T215" i="5"/>
  <c r="T168" i="5"/>
  <c r="S38" i="5"/>
  <c r="T220" i="5"/>
  <c r="S253" i="5"/>
  <c r="S285" i="5"/>
  <c r="S178" i="5"/>
  <c r="T276" i="5"/>
  <c r="S72" i="5"/>
  <c r="S60" i="5"/>
  <c r="S130" i="5"/>
  <c r="S34" i="5"/>
  <c r="S139" i="5"/>
  <c r="S82" i="5"/>
  <c r="S309" i="5"/>
  <c r="S301" i="5"/>
  <c r="S30" i="5"/>
  <c r="T151" i="5"/>
  <c r="S32" i="5"/>
  <c r="S166" i="5"/>
  <c r="T265" i="5"/>
  <c r="S289" i="5"/>
  <c r="T268" i="5"/>
  <c r="S198" i="5"/>
  <c r="S153" i="5"/>
  <c r="S249" i="5"/>
  <c r="S298" i="5"/>
  <c r="T43" i="5"/>
  <c r="T176" i="5"/>
  <c r="S185" i="5"/>
  <c r="S118" i="5"/>
  <c r="T189" i="5"/>
  <c r="T260" i="5"/>
  <c r="S242" i="5"/>
  <c r="T212" i="5"/>
  <c r="T224" i="5"/>
  <c r="S133" i="5"/>
  <c r="T160" i="5"/>
  <c r="T293" i="5"/>
  <c r="T228" i="5"/>
  <c r="S222" i="5"/>
  <c r="T264" i="5"/>
  <c r="S221" i="5"/>
  <c r="T91" i="5"/>
  <c r="S173" i="5"/>
  <c r="S76" i="5"/>
  <c r="T251" i="5"/>
  <c r="S68" i="5"/>
  <c r="S62" i="5"/>
  <c r="T272" i="5"/>
  <c r="T305" i="5"/>
  <c r="S84" i="5"/>
  <c r="S154" i="5"/>
  <c r="S146" i="5"/>
  <c r="S78" i="5"/>
  <c r="S90" i="5"/>
  <c r="S233" i="5"/>
  <c r="T252" i="5"/>
  <c r="S29" i="5"/>
  <c r="S266" i="5"/>
  <c r="S64" i="5"/>
  <c r="S307" i="5"/>
  <c r="T180" i="5"/>
  <c r="S110" i="5"/>
  <c r="T115" i="5"/>
  <c r="T163" i="5"/>
  <c r="T280" i="5"/>
  <c r="T184" i="5"/>
  <c r="T148" i="5"/>
  <c r="T188" i="5"/>
  <c r="S245" i="5"/>
  <c r="S134" i="5"/>
  <c r="T104" i="5"/>
  <c r="T144" i="5"/>
  <c r="T243" i="5"/>
  <c r="S182" i="5"/>
  <c r="S170" i="5"/>
  <c r="S186" i="5"/>
  <c r="S52" i="5"/>
  <c r="T192" i="5"/>
  <c r="S234" i="5"/>
  <c r="T194" i="5"/>
  <c r="T120" i="5"/>
  <c r="S54" i="5"/>
  <c r="S5" i="5"/>
  <c r="T256" i="5"/>
  <c r="S109" i="5"/>
  <c r="S138" i="5"/>
  <c r="S70" i="5"/>
  <c r="S44" i="5"/>
  <c r="S294" i="5"/>
  <c r="S121" i="5"/>
  <c r="S241" i="5"/>
  <c r="S6" i="5"/>
  <c r="S86" i="5"/>
  <c r="T140" i="5"/>
  <c r="S214" i="5"/>
  <c r="T297" i="5"/>
  <c r="T211" i="5"/>
  <c r="T124" i="5"/>
  <c r="S100" i="5"/>
  <c r="T200" i="5"/>
  <c r="S21" i="5"/>
  <c r="S37" i="5"/>
  <c r="T287" i="5"/>
  <c r="S126" i="5"/>
  <c r="T156" i="5"/>
  <c r="S254" i="5"/>
  <c r="T204" i="5"/>
  <c r="T175" i="5"/>
  <c r="S122" i="5"/>
  <c r="T208" i="5"/>
  <c r="S36" i="5"/>
  <c r="T132" i="5"/>
  <c r="T191" i="5"/>
  <c r="S98" i="5"/>
  <c r="S274" i="5"/>
  <c r="S96" i="5"/>
  <c r="S23" i="5"/>
  <c r="T239" i="5"/>
  <c r="T71" i="5"/>
  <c r="S162" i="5"/>
  <c r="T196" i="5"/>
  <c r="T240" i="5"/>
  <c r="T172" i="5"/>
  <c r="S165" i="5"/>
  <c r="T164" i="5"/>
  <c r="S142" i="5"/>
  <c r="S278" i="5"/>
  <c r="T136" i="5"/>
  <c r="T284" i="5"/>
  <c r="T108" i="5"/>
  <c r="T244" i="5"/>
  <c r="S270" i="5"/>
  <c r="S141" i="5"/>
  <c r="S230" i="5"/>
  <c r="S174" i="5"/>
  <c r="S79" i="5"/>
  <c r="S101" i="5"/>
  <c r="S22" i="5"/>
  <c r="S50" i="5"/>
  <c r="S290" i="5"/>
  <c r="T112" i="5"/>
  <c r="S273" i="5"/>
  <c r="T87" i="5"/>
  <c r="S286" i="5"/>
  <c r="S88" i="5"/>
  <c r="T103" i="5"/>
  <c r="S181" i="5"/>
  <c r="T300" i="5"/>
  <c r="S231" i="5"/>
  <c r="T281" i="5"/>
  <c r="X589" i="5" l="1"/>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s="1"/>
  <c r="H26" i="6"/>
  <c r="D26" i="6" s="1"/>
  <c r="H24" i="6"/>
  <c r="C24" i="6" s="1"/>
  <c r="H35" i="6"/>
  <c r="D35" i="6" s="1"/>
  <c r="H40" i="6"/>
  <c r="D40" i="6" s="1"/>
  <c r="H46" i="6"/>
  <c r="D46" i="6" s="1"/>
  <c r="H31" i="6"/>
  <c r="C31" i="6" s="1"/>
  <c r="C29" i="6"/>
  <c r="D29" i="6"/>
  <c r="H30" i="6"/>
  <c r="AB12" i="5"/>
  <c r="V12" i="5"/>
  <c r="V16" i="5"/>
  <c r="V14" i="5"/>
  <c r="AB9" i="5"/>
  <c r="AB10" i="5"/>
  <c r="V11" i="5"/>
  <c r="AB14" i="5"/>
  <c r="AB17" i="5"/>
  <c r="V10" i="5"/>
  <c r="AB16" i="5"/>
  <c r="AB8" i="5"/>
  <c r="V9" i="5"/>
  <c r="AB13" i="5"/>
  <c r="AB15" i="5"/>
  <c r="V8" i="5"/>
  <c r="AB11" i="5"/>
  <c r="V17" i="5"/>
  <c r="V15" i="5"/>
  <c r="AB7" i="5"/>
  <c r="V13" i="5"/>
  <c r="V7" i="5"/>
  <c r="F69" i="6"/>
  <c r="C69" i="6" s="1"/>
  <c r="H49" i="6"/>
  <c r="D49" i="6" s="1"/>
  <c r="H34" i="6"/>
  <c r="H32" i="6"/>
  <c r="C45" i="6"/>
  <c r="C51" i="6"/>
  <c r="D19" i="6"/>
  <c r="C19" i="6"/>
  <c r="K65" i="6"/>
  <c r="X100" i="5"/>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D21" i="6"/>
  <c r="C21" i="6"/>
  <c r="D22" i="6"/>
  <c r="C22" i="6"/>
  <c r="H47" i="6"/>
  <c r="D47" i="6" s="1"/>
  <c r="C52" i="6"/>
  <c r="C50" i="6"/>
  <c r="C44" i="6"/>
  <c r="S430" i="5"/>
  <c r="S443" i="5"/>
  <c r="S324" i="5"/>
  <c r="S419" i="5"/>
  <c r="S589" i="5"/>
  <c r="S220" i="5"/>
  <c r="S521" i="5"/>
  <c r="S472"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475" i="5"/>
  <c r="S529" i="5"/>
  <c r="S334" i="5"/>
  <c r="S458" i="5"/>
  <c r="S386" i="5"/>
  <c r="S534" i="5"/>
  <c r="S330" i="5"/>
  <c r="S587" i="5"/>
  <c r="S554" i="5"/>
  <c r="S509" i="5"/>
  <c r="S522" i="5"/>
  <c r="S565" i="5"/>
  <c r="S328"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312" i="5"/>
  <c r="S422" i="5"/>
  <c r="S574" i="5"/>
  <c r="S505" i="5"/>
  <c r="S346" i="5"/>
  <c r="S577" i="5"/>
  <c r="S466" i="5"/>
  <c r="S427" i="5"/>
  <c r="S518" i="5"/>
  <c r="S524" i="5"/>
  <c r="S320" i="5"/>
  <c r="S406" i="5"/>
  <c r="S359" i="5"/>
  <c r="S506" i="5"/>
  <c r="S316" i="5"/>
  <c r="S390" i="5"/>
  <c r="S395" i="5"/>
  <c r="S609" i="5"/>
  <c r="S575" i="5"/>
  <c r="S497" i="5"/>
  <c r="S434" i="5"/>
  <c r="S474" i="5"/>
  <c r="S585" i="5"/>
  <c r="S583" i="5"/>
  <c r="S588" i="5"/>
  <c r="S489" i="5"/>
  <c r="S593" i="5"/>
  <c r="S176" i="5"/>
  <c r="S200" i="5"/>
  <c r="S252" i="5"/>
  <c r="S208" i="5"/>
  <c r="S216" i="5"/>
  <c r="S260" i="5"/>
  <c r="S265" i="5"/>
  <c r="S194" i="5"/>
  <c r="S284" i="5"/>
  <c r="S244" i="5"/>
  <c r="S152" i="5"/>
  <c r="S120" i="5"/>
  <c r="S211" i="5"/>
  <c r="S212" i="5"/>
  <c r="S184" i="5"/>
  <c r="S224" i="5"/>
  <c r="S102" i="5"/>
  <c r="S239" i="5"/>
  <c r="S201" i="5"/>
  <c r="S287" i="5"/>
  <c r="S207" i="5"/>
  <c r="S116" i="5"/>
  <c r="S136" i="5"/>
  <c r="S132" i="5"/>
  <c r="S232" i="5"/>
  <c r="S192" i="5"/>
  <c r="S189" i="5"/>
  <c r="S151" i="5"/>
  <c r="S108" i="5"/>
  <c r="S180" i="5"/>
  <c r="S115" i="5"/>
  <c r="S228" i="5"/>
  <c r="S293" i="5"/>
  <c r="S300" i="5"/>
  <c r="S103" i="5"/>
  <c r="S272" i="5"/>
  <c r="S104" i="5"/>
  <c r="S288" i="5"/>
  <c r="S248" i="5"/>
  <c r="S277" i="5"/>
  <c r="S91" i="5"/>
  <c r="S191" i="5"/>
  <c r="S280" i="5"/>
  <c r="S264" i="5"/>
  <c r="S204" i="5"/>
  <c r="S164" i="5"/>
  <c r="S256" i="5"/>
  <c r="S156" i="5"/>
  <c r="S261" i="5"/>
  <c r="S196" i="5"/>
  <c r="S168" i="5"/>
  <c r="S297" i="5"/>
  <c r="S243" i="5"/>
  <c r="S276" i="5"/>
  <c r="S308" i="5"/>
  <c r="S279" i="5"/>
  <c r="S268" i="5"/>
  <c r="S281" i="5"/>
  <c r="S251" i="5"/>
  <c r="S160" i="5"/>
  <c r="S87" i="5"/>
  <c r="S306" i="5"/>
  <c r="S292" i="5"/>
  <c r="S148" i="5"/>
  <c r="S188" i="5"/>
  <c r="S236" i="5"/>
  <c r="S128" i="5"/>
  <c r="S112" i="5"/>
  <c r="S43" i="5"/>
  <c r="S305" i="5"/>
  <c r="S240" i="5"/>
  <c r="S124" i="5"/>
  <c r="S303" i="5"/>
  <c r="S140" i="5"/>
  <c r="S144" i="5"/>
  <c r="S262" i="5"/>
  <c r="S215" i="5"/>
  <c r="S296" i="5"/>
  <c r="S71" i="5"/>
  <c r="S172" i="5"/>
  <c r="S163" i="5"/>
  <c r="C26" i="6" l="1"/>
  <c r="C40" i="6"/>
  <c r="D24" i="6"/>
  <c r="G68" i="6"/>
  <c r="H68" i="6" s="1"/>
  <c r="D68" i="6" s="1"/>
  <c r="C39" i="6"/>
  <c r="C35" i="6"/>
  <c r="C46" i="6"/>
  <c r="C34" i="6"/>
  <c r="D34" i="6"/>
  <c r="D31" i="6"/>
  <c r="C30" i="6"/>
  <c r="D30" i="6"/>
  <c r="C32" i="6"/>
  <c r="D32" i="6"/>
  <c r="R16" i="5"/>
  <c r="R10" i="5"/>
  <c r="R13" i="5"/>
  <c r="R7" i="5"/>
  <c r="R17" i="5"/>
  <c r="G66" i="6"/>
  <c r="H66" i="6" s="1"/>
  <c r="C66" i="6" s="1"/>
  <c r="G67" i="6"/>
  <c r="H67" i="6" s="1"/>
  <c r="D67" i="6" s="1"/>
  <c r="G65" i="6"/>
  <c r="H65" i="6" s="1"/>
  <c r="C65" i="6" s="1"/>
  <c r="R12" i="5"/>
  <c r="R9" i="5"/>
  <c r="R8" i="5"/>
  <c r="R15" i="5"/>
  <c r="R11" i="5"/>
  <c r="R14" i="5"/>
  <c r="C49" i="6"/>
  <c r="C47" i="6"/>
  <c r="C60" i="6"/>
  <c r="D60" i="6"/>
  <c r="D58" i="6"/>
  <c r="C58" i="6"/>
  <c r="D63" i="6"/>
  <c r="C63" i="6"/>
  <c r="C62" i="6"/>
  <c r="D62" i="6"/>
  <c r="C54" i="6"/>
  <c r="D54" i="6"/>
  <c r="D57" i="6"/>
  <c r="C57" i="6"/>
  <c r="F56" i="6"/>
  <c r="H56" i="6" s="1"/>
  <c r="H55" i="6"/>
  <c r="D59" i="6"/>
  <c r="C59" i="6"/>
  <c r="T8" i="5"/>
  <c r="T11" i="5"/>
  <c r="T13" i="5"/>
  <c r="T17" i="5"/>
  <c r="T16" i="5"/>
  <c r="T7" i="5"/>
  <c r="T14" i="5"/>
  <c r="T12" i="5"/>
  <c r="T15" i="5"/>
  <c r="T10" i="5"/>
  <c r="T9" i="5"/>
  <c r="C68" i="6" l="1"/>
  <c r="X13" i="5"/>
  <c r="X10" i="5"/>
  <c r="D65" i="6"/>
  <c r="X9" i="5"/>
  <c r="X12" i="5"/>
  <c r="X14" i="5"/>
  <c r="X17" i="5"/>
  <c r="D66" i="6"/>
  <c r="C67" i="6"/>
  <c r="X11" i="5"/>
  <c r="X15" i="5"/>
  <c r="X8" i="5"/>
  <c r="X7" i="5"/>
  <c r="G69" i="6"/>
  <c r="H69" i="6" s="1"/>
  <c r="H70" i="6" s="1"/>
  <c r="D2" i="6" s="1"/>
  <c r="X16" i="5"/>
  <c r="D55" i="6"/>
  <c r="C55" i="6"/>
  <c r="D56" i="6"/>
  <c r="C56" i="6"/>
  <c r="S12" i="5"/>
  <c r="S9" i="5"/>
  <c r="S7" i="5"/>
  <c r="S11" i="5"/>
  <c r="S15" i="5"/>
  <c r="S17" i="5"/>
  <c r="S10" i="5"/>
  <c r="S13" i="5"/>
  <c r="S14" i="5"/>
  <c r="S8" i="5"/>
  <c r="S16"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<sst xmlns="http://schemas.openxmlformats.org/spreadsheetml/2006/main" count="24424" uniqueCount="15649">
  <si>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</si>
  <si>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</si>
  <si>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</si>
  <si>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</si>
  <si>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</si>
  <si>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</si>
  <si>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</si>
  <si>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</si>
  <si>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</si>
  <si>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</si>
  <si>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</si>
  <si>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</si>
  <si>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</si>
  <si>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</si>
  <si>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</si>
  <si>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</si>
  <si>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</si>
  <si>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</si>
  <si>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</si>
  <si>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</si>
  <si>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</si>
  <si>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</si>
  <si>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</si>
  <si>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</si>
  <si>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</si>
  <si>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</si>
  <si>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</si>
  <si>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</si>
  <si>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</si>
  <si>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</si>
  <si>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</si>
  <si>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</si>
  <si>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</si>
  <si>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</si>
  <si>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</si>
  <si>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</si>
  <si>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</si>
  <si>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</si>
  <si>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</si>
  <si>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</si>
  <si>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</si>
  <si>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</si>
  <si>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</si>
  <si>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</si>
  <si>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</si>
  <si>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</si>
  <si>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</si>
  <si>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</si>
  <si>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</si>
  <si>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</si>
  <si>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</si>
  <si>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</si>
  <si>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</si>
  <si>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</si>
  <si>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</si>
  <si>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</si>
  <si>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</si>
  <si>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</si>
  <si>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</si>
  <si>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</si>
  <si>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</si>
  <si>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</si>
  <si>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</si>
  <si>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</si>
  <si>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</si>
  <si>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</si>
  <si>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</si>
  <si>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</si>
  <si>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</si>
  <si>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</si>
  <si>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</si>
  <si>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</si>
  <si>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</si>
  <si>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</si>
  <si>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</si>
  <si>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</si>
  <si>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</si>
  <si>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</si>
  <si>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</si>
  <si>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</si>
  <si>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</si>
  <si>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</si>
  <si>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</si>
  <si>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</si>
  <si>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</si>
  <si>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</si>
  <si>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</si>
  <si>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</si>
  <si>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</si>
  <si>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</si>
  <si>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</si>
  <si>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</si>
  <si>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</si>
  <si>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</si>
  <si>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</si>
  <si>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</si>
  <si>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</si>
  <si>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</si>
  <si>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</si>
  <si>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</si>
  <si>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</si>
  <si>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</si>
  <si>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</si>
  <si>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</si>
  <si>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</si>
  <si>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</si>
  <si>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</si>
  <si>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</si>
  <si>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</si>
  <si>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</si>
  <si>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</si>
  <si>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</si>
  <si>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</si>
  <si>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</si>
  <si>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</si>
  <si>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</si>
  <si>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</si>
  <si>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</si>
  <si>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</si>
  <si>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</si>
  <si>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</si>
  <si>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</si>
  <si>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</si>
  <si>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</si>
  <si>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</si>
  <si>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</si>
  <si>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</si>
  <si>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</si>
  <si>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</si>
  <si>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</si>
  <si>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</si>
  <si>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</si>
  <si>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</si>
  <si>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</si>
  <si>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</si>
  <si>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</si>
  <si>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</si>
  <si>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</si>
  <si>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</si>
  <si>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</si>
  <si>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</si>
  <si>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</si>
  <si>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</si>
  <si>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</si>
  <si>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</si>
  <si>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</si>
  <si>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</si>
  <si>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</si>
  <si>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</si>
  <si>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</si>
  <si>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</si>
  <si>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</si>
  <si>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</si>
  <si>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</si>
  <si>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</si>
  <si>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</si>
  <si>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</si>
  <si>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</si>
  <si>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</si>
  <si>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</si>
  <si>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</si>
  <si>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</si>
  <si>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</si>
  <si>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</si>
  <si>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</si>
  <si>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</si>
  <si>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</si>
  <si>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</si>
  <si>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</si>
  <si>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</si>
  <si>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</si>
  <si>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</si>
  <si>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</si>
  <si>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</si>
  <si>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</si>
  <si>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</si>
  <si>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</si>
  <si>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</si>
  <si>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</si>
  <si>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</si>
  <si>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</si>
  <si>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</si>
  <si>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</si>
  <si>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</si>
  <si>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</si>
  <si>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</si>
  <si>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</si>
  <si>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</si>
  <si>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</si>
  <si>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</si>
  <si>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</si>
  <si>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</si>
  <si>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</si>
  <si>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</si>
  <si>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</si>
  <si>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</si>
  <si>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</si>
  <si>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</si>
  <si>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</si>
  <si>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</si>
  <si>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</si>
  <si>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</si>
  <si>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</si>
  <si>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</si>
  <si>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</si>
  <si>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</si>
  <si>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</si>
  <si>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</si>
  <si>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</si>
  <si>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</si>
  <si>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</si>
  <si>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</si>
  <si>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</si>
  <si>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</si>
  <si>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</si>
  <si>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</si>
  <si>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</si>
  <si>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</si>
  <si>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</si>
  <si>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</si>
  <si>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</si>
  <si>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</si>
  <si>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</si>
  <si>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</si>
  <si>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</si>
  <si>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</si>
  <si>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</si>
  <si>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</si>
  <si>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</si>
  <si>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</si>
  <si>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</si>
  <si>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</si>
  <si>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</si>
  <si>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</si>
  <si>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</si>
  <si>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</si>
  <si>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</si>
  <si>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</si>
  <si>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</si>
  <si>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</si>
  <si>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</si>
  <si>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</si>
  <si>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</si>
  <si>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</si>
  <si>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</si>
  <si>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</si>
  <si>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</si>
  <si>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</si>
  <si>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</si>
  <si>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</si>
  <si>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</si>
  <si>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</si>
  <si>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</si>
  <si>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</si>
  <si>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</si>
  <si>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</si>
  <si>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</si>
  <si>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</si>
  <si>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</si>
  <si>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</si>
  <si>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</si>
  <si>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</si>
  <si>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</si>
  <si>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</si>
  <si>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</si>
  <si>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</si>
  <si>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</si>
  <si>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</si>
  <si>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</si>
  <si>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</si>
  <si>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</si>
  <si>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</si>
  <si>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</si>
  <si>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</si>
  <si>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</si>
  <si>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</si>
  <si>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</si>
  <si>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</si>
  <si>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</si>
  <si>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</si>
  <si>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</si>
  <si>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</si>
  <si>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</si>
  <si>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</si>
  <si>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</si>
  <si>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</si>
  <si>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</si>
  <si>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</si>
  <si>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</si>
  <si>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</si>
  <si>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</si>
  <si>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</si>
  <si>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</si>
  <si>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</si>
  <si>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</si>
  <si>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</si>
  <si>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</si>
  <si>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</si>
  <si>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</si>
  <si>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</si>
  <si>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</si>
  <si>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</si>
  <si>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</si>
  <si>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</si>
  <si>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</si>
  <si>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</si>
  <si>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</si>
  <si>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</si>
  <si>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</si>
  <si>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</si>
  <si>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</si>
  <si>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</si>
  <si>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</si>
  <si>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</si>
  <si>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</si>
  <si>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</si>
  <si>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</si>
  <si>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</si>
  <si>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</si>
  <si>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</si>
  <si>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</si>
  <si>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</si>
  <si>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</si>
  <si>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</si>
  <si>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</si>
  <si>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</si>
  <si>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</si>
  <si>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</si>
  <si>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</si>
  <si>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</si>
  <si>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</si>
  <si>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</si>
  <si>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</si>
  <si>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</si>
  <si>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</si>
  <si>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</si>
  <si>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</si>
  <si>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</si>
  <si>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</si>
  <si>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</si>
  <si>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</si>
  <si>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</si>
  <si>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</si>
  <si>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</si>
  <si>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</si>
  <si>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</si>
  <si>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</si>
  <si>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</si>
  <si>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</si>
  <si>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</si>
  <si>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</si>
  <si>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</si>
  <si>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</si>
  <si>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</si>
  <si>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</si>
  <si>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</si>
  <si>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</si>
  <si>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</si>
  <si>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</si>
  <si>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</si>
  <si>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</si>
  <si>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</si>
  <si>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</si>
  <si>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</si>
  <si>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</si>
  <si>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</si>
  <si>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</si>
  <si>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</si>
  <si>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</si>
  <si>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</si>
  <si>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</si>
  <si>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</si>
  <si>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</si>
  <si>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</si>
  <si>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</si>
  <si>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</si>
  <si>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</si>
  <si>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</si>
  <si>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</si>
  <si>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</si>
  <si>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</si>
  <si>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</si>
  <si>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</si>
  <si>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</si>
  <si>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</si>
  <si>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</si>
  <si>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</si>
  <si>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</si>
  <si>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</si>
  <si>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</si>
  <si>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</si>
  <si>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</si>
  <si>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</si>
  <si>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</si>
  <si>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</si>
  <si>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</si>
  <si>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</si>
  <si>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</si>
  <si>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</si>
  <si>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</si>
  <si>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</si>
  <si>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</si>
  <si>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</si>
  <si>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</si>
  <si>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</si>
  <si>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</si>
  <si>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</si>
  <si>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</si>
  <si>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</si>
  <si>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</si>
  <si>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</si>
  <si>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</si>
  <si>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</si>
  <si>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</si>
  <si>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</si>
  <si>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</si>
  <si>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</si>
  <si>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</si>
  <si>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</si>
  <si>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</si>
  <si>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</si>
  <si>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</si>
  <si>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</si>
  <si>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</si>
  <si>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</si>
  <si>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</si>
  <si>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</si>
  <si>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</si>
  <si>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</si>
  <si>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</si>
  <si>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</si>
  <si>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</si>
  <si>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</si>
  <si>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</si>
  <si>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</si>
  <si>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</si>
  <si>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</si>
  <si>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</si>
  <si>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</si>
  <si>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</si>
  <si>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</si>
  <si>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</si>
  <si>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</si>
  <si>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</si>
  <si>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</si>
  <si>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</si>
  <si>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</si>
  <si>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</si>
  <si>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</si>
  <si>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</si>
  <si>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</si>
  <si>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</si>
  <si>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</si>
  <si>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</si>
  <si>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</si>
  <si>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</si>
  <si>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</si>
  <si>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</si>
  <si>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</si>
  <si>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</si>
  <si>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</si>
  <si>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</si>
  <si>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</si>
  <si>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</si>
  <si>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</si>
  <si>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</si>
  <si>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</si>
  <si>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</si>
  <si>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</si>
  <si>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</si>
  <si>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</si>
  <si>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</si>
  <si>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</si>
  <si>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</si>
  <si>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</si>
  <si>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</si>
  <si>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</si>
  <si>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</si>
  <si>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</si>
  <si>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</si>
  <si>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</si>
  <si>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</si>
  <si>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</si>
  <si>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</si>
  <si>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</si>
  <si>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</si>
  <si>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</si>
  <si>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</si>
  <si>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</si>
  <si>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</si>
  <si>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</si>
  <si>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</si>
  <si>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</si>
  <si>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</si>
  <si>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</si>
  <si>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</si>
  <si>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</si>
  <si>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</si>
  <si>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</si>
  <si>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</si>
  <si>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</si>
  <si>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</si>
  <si>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</si>
  <si>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</si>
  <si>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</si>
  <si>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</si>
  <si>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</si>
  <si>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</si>
  <si>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</si>
  <si>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</si>
  <si>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</si>
  <si>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</si>
  <si>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</si>
  <si>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</si>
  <si>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</si>
  <si>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</si>
  <si>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</si>
  <si>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</si>
  <si>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</si>
  <si>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</si>
  <si>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</si>
  <si>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</si>
  <si>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</si>
  <si>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</si>
  <si>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</si>
  <si>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</si>
  <si>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</si>
  <si>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</si>
  <si>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</si>
  <si>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</si>
  <si>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</si>
  <si>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</si>
  <si>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</si>
  <si>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</si>
  <si>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</si>
  <si>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</si>
  <si>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</si>
  <si>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</si>
  <si>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</si>
  <si>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</si>
  <si>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</si>
  <si>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</si>
  <si>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</si>
  <si>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</si>
  <si>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</si>
  <si>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</si>
  <si>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</si>
  <si>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</si>
  <si>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</si>
  <si>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</si>
  <si>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</si>
  <si>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</si>
  <si>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</si>
  <si>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</si>
  <si>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</si>
  <si>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</si>
  <si>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</si>
  <si>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</si>
  <si>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</si>
  <si>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</si>
  <si>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</si>
  <si>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</si>
  <si>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</si>
  <si>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</si>
  <si>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</si>
  <si>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</si>
  <si>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</si>
  <si>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</si>
  <si>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</si>
  <si>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</si>
  <si>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</si>
  <si>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</si>
  <si>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</si>
  <si>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</si>
  <si>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</si>
  <si>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</si>
  <si>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</si>
  <si>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</si>
  <si>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</si>
  <si>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</si>
  <si>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</si>
  <si>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</si>
  <si>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</si>
  <si>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</si>
  <si>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</si>
  <si>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</si>
  <si>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</si>
  <si>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</si>
  <si>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</si>
  <si>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</si>
  <si>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</si>
  <si>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</si>
  <si>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</si>
  <si>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</si>
  <si>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</si>
  <si>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</si>
  <si>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</si>
  <si>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</si>
  <si>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</si>
  <si>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</si>
  <si>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</si>
  <si>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</si>
  <si>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</si>
  <si>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</si>
  <si>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</si>
  <si>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</si>
  <si>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</si>
  <si>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</si>
  <si>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</si>
  <si>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</si>
  <si>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</si>
  <si>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</si>
  <si>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</si>
  <si>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</si>
  <si>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</si>
  <si>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</si>
  <si>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</si>
  <si>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</si>
  <si>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</si>
  <si>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</si>
  <si>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</si>
  <si>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</si>
  <si>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</si>
  <si>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</si>
  <si>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</si>
  <si>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</si>
  <si>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</si>
  <si>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</si>
  <si>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</si>
  <si>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</si>
  <si>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</si>
  <si>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</si>
  <si>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</si>
  <si>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</si>
  <si>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</si>
  <si>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</si>
  <si>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</si>
  <si>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</si>
  <si>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</si>
  <si>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</si>
  <si>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</si>
  <si>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</si>
  <si>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</si>
  <si>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</si>
  <si>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</si>
  <si>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</si>
  <si>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</si>
  <si>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</si>
  <si>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</si>
  <si>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</si>
  <si>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</si>
  <si>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</si>
  <si>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</si>
  <si>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</si>
  <si>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</si>
  <si>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</si>
  <si>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</si>
  <si>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</si>
  <si>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</si>
  <si>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</si>
  <si>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</si>
  <si>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</si>
  <si>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</si>
  <si>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</si>
  <si>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</si>
  <si>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</si>
  <si>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</si>
  <si>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</si>
  <si>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</si>
  <si>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</si>
  <si>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</si>
  <si>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</si>
  <si>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</si>
  <si>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</si>
  <si>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</si>
  <si>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</si>
  <si>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</si>
  <si>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</si>
  <si>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</si>
  <si>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</si>
  <si>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</si>
  <si>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</si>
  <si>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</si>
  <si>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</si>
  <si>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</si>
  <si>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</si>
  <si>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</si>
  <si>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</si>
  <si>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</si>
  <si>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</si>
  <si>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</si>
  <si>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</si>
  <si>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</si>
  <si>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</si>
  <si>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</si>
  <si>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</si>
  <si>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</si>
  <si>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</si>
  <si>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</si>
  <si>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</si>
  <si>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</si>
  <si>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</si>
  <si>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</si>
  <si>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</si>
  <si>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</si>
  <si>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</si>
  <si>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</si>
  <si>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</si>
  <si>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</si>
  <si>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</si>
  <si>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</si>
  <si>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</si>
  <si>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</si>
  <si>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</si>
  <si>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</si>
  <si>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</si>
  <si>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</si>
  <si>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</si>
  <si>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</si>
  <si>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</si>
  <si>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</si>
  <si>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</si>
  <si>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</si>
  <si>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</si>
  <si>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</si>
  <si>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</si>
  <si>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</si>
  <si>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</si>
  <si>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</si>
  <si>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</si>
  <si>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</si>
  <si>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</si>
  <si>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</si>
  <si>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</si>
  <si>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</si>
  <si>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</si>
  <si>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</si>
  <si>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</si>
  <si>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</si>
  <si>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</si>
  <si>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</si>
  <si>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</si>
  <si>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</si>
  <si>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</si>
  <si>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</si>
  <si>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</si>
  <si>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</si>
  <si>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</si>
  <si>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</si>
  <si>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</si>
  <si>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</si>
  <si>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</si>
  <si>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</si>
  <si>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</si>
  <si>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</si>
  <si>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</si>
  <si>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</si>
  <si>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</si>
  <si>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</si>
  <si>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</si>
  <si>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</si>
  <si>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</si>
  <si>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</si>
  <si>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</si>
  <si>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</si>
  <si>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</si>
  <si>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</si>
  <si>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</si>
  <si>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</si>
  <si>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</si>
  <si>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</si>
  <si>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</si>
  <si>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</si>
  <si>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</si>
  <si>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</si>
  <si>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</si>
  <si>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</si>
  <si>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</si>
  <si>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</si>
  <si>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</si>
  <si>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</si>
  <si>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</si>
  <si>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</si>
  <si>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</si>
  <si>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</si>
  <si>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</si>
  <si>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</si>
  <si>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</si>
  <si>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</si>
  <si>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</si>
  <si>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</si>
  <si>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</si>
  <si>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</si>
  <si>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</si>
  <si>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</si>
  <si>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</si>
  <si>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</si>
  <si>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</si>
  <si>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</si>
  <si>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</si>
  <si>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</si>
  <si>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</si>
  <si>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</si>
  <si>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</si>
  <si>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</si>
  <si>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</si>
  <si>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</si>
  <si>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</si>
  <si>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</si>
  <si>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</si>
  <si>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</si>
  <si>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</si>
  <si>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</si>
  <si>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</si>
  <si>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</si>
  <si>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</si>
  <si>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</si>
  <si>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</si>
  <si>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</si>
  <si>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</si>
  <si>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</si>
  <si>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</si>
  <si>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</si>
  <si>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</si>
  <si>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</si>
  <si>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</si>
  <si>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</si>
  <si>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</si>
  <si>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</si>
  <si>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</si>
  <si>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</si>
  <si>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</si>
  <si>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</si>
  <si>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</si>
  <si>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</si>
  <si>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</si>
  <si>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</si>
  <si>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</si>
  <si>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</si>
  <si>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</si>
  <si>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</si>
  <si>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</si>
  <si>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</si>
  <si>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</si>
  <si>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</si>
  <si>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</si>
  <si>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</si>
  <si>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</si>
  <si>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</si>
  <si>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</si>
  <si>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</si>
  <si>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</si>
  <si>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</si>
  <si>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</si>
  <si>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</si>
  <si>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</si>
  <si>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</si>
  <si>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</si>
  <si>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</si>
  <si>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</si>
  <si>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</si>
  <si>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</si>
  <si>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</si>
  <si>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</si>
  <si>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</si>
  <si>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</si>
  <si>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</si>
  <si>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</si>
  <si>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</si>
  <si>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</si>
  <si>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</si>
  <si>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</si>
  <si>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</si>
  <si>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</si>
  <si>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</si>
  <si>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</si>
  <si>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</si>
  <si>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</si>
  <si>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</si>
  <si>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</si>
  <si>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</si>
  <si>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</si>
  <si>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</si>
  <si>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</si>
  <si>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</si>
  <si>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</si>
  <si>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</si>
  <si>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</si>
  <si>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</si>
  <si>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</si>
  <si>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</si>
  <si>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</si>
  <si>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</si>
  <si>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</si>
  <si>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</si>
  <si>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</si>
  <si>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</si>
  <si>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</si>
  <si>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</si>
  <si>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</si>
  <si>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</si>
  <si>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</si>
  <si>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</si>
  <si>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</si>
  <si>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</si>
  <si>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</si>
  <si>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</si>
  <si>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</si>
  <si>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</si>
  <si>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</si>
  <si>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</si>
  <si>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</si>
  <si>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</si>
  <si>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</si>
  <si>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</si>
  <si>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</si>
  <si>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</si>
  <si>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</si>
  <si>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</si>
  <si>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</si>
  <si>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</si>
  <si>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</si>
  <si>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</si>
  <si>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</si>
  <si>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</si>
  <si>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</si>
  <si>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</si>
  <si>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</si>
  <si>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</si>
  <si>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</si>
  <si>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</si>
  <si>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</si>
  <si>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</si>
  <si>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</si>
  <si>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</si>
  <si>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</si>
  <si>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</si>
  <si>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</si>
  <si>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</si>
  <si>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</si>
  <si>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</si>
  <si>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</si>
  <si>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</si>
  <si>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</si>
  <si>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</si>
  <si>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</si>
  <si>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</si>
  <si>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</si>
  <si>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</si>
  <si>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</si>
  <si>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</si>
  <si>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</si>
  <si>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</si>
  <si>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</si>
  <si>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</si>
  <si>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</si>
  <si>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</si>
  <si>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</si>
  <si>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</si>
  <si>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</si>
  <si>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</si>
  <si>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</si>
  <si>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</si>
  <si>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</si>
  <si>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</si>
  <si>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</si>
  <si>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</si>
  <si>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</si>
  <si>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</si>
  <si>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</si>
  <si>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</si>
  <si>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</si>
  <si>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</si>
  <si>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</si>
  <si>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</si>
  <si>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</si>
  <si>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</si>
  <si>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</si>
  <si>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</si>
  <si>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</si>
  <si>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</si>
  <si>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</si>
  <si>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</si>
  <si>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</si>
  <si>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</si>
  <si>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</si>
  <si>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</si>
  <si>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</si>
  <si>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</si>
  <si>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</si>
  <si>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</si>
  <si>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</si>
  <si>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</si>
  <si>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</si>
  <si>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</si>
  <si>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</si>
  <si>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</si>
  <si>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</si>
  <si>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</si>
  <si>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</si>
  <si>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</si>
  <si>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</si>
  <si>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</si>
  <si>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</si>
  <si>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</si>
  <si>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</si>
  <si>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</si>
  <si>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</si>
  <si>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</si>
  <si>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</si>
  <si>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</si>
  <si>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</si>
  <si>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</si>
  <si>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</si>
  <si>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</si>
  <si>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</si>
  <si>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</si>
  <si>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</si>
  <si>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</si>
  <si>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</si>
  <si>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</si>
  <si>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</si>
  <si>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</si>
  <si>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</si>
  <si>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</si>
  <si>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</si>
  <si>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</si>
  <si>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</si>
  <si>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</si>
  <si>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</si>
  <si>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</si>
  <si>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</si>
  <si>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</si>
  <si>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</si>
  <si>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</si>
  <si>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</si>
  <si>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</si>
  <si>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</si>
  <si>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</si>
  <si>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</si>
  <si>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</si>
  <si>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</si>
  <si>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</si>
  <si>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</si>
  <si>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</si>
  <si>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</si>
  <si>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</si>
  <si>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</si>
  <si>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</si>
  <si>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</si>
  <si>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</si>
  <si>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</si>
  <si>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</si>
  <si>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</si>
  <si>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</si>
  <si>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</si>
  <si>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</si>
  <si>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</si>
  <si>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</si>
  <si>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</si>
  <si>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</si>
  <si>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</si>
  <si>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</si>
  <si>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</si>
  <si>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</si>
  <si>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</si>
  <si>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</si>
  <si>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</si>
  <si>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</si>
  <si>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</si>
  <si>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</si>
  <si>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</si>
  <si>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</si>
  <si>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</si>
  <si>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</si>
  <si>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</si>
  <si>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</si>
  <si>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</si>
  <si>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</si>
  <si>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</si>
  <si>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</si>
  <si>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</si>
  <si>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</si>
  <si>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</si>
  <si>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</si>
  <si>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</si>
  <si>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</si>
  <si>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</si>
  <si>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</si>
  <si>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</si>
  <si>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</si>
  <si>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</si>
  <si>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</si>
  <si>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</si>
  <si>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</si>
  <si>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</si>
  <si>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</si>
  <si>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</si>
  <si>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</si>
  <si>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</si>
  <si>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</si>
  <si>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</si>
  <si>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</si>
  <si>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</si>
  <si>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</si>
  <si>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</si>
  <si>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</si>
  <si>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</si>
  <si>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</si>
  <si>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</si>
  <si>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</si>
  <si>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</si>
  <si>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</si>
  <si>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</si>
  <si>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</si>
  <si>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</si>
  <si>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</si>
  <si>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</si>
  <si>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</si>
  <si>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</si>
  <si>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</si>
  <si>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</si>
  <si>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</si>
  <si>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</si>
  <si>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</si>
  <si>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</si>
  <si>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</si>
  <si>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</si>
  <si>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</si>
  <si>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</si>
  <si>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</si>
  <si>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</si>
  <si>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</si>
  <si>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</si>
  <si>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</si>
  <si>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</si>
  <si>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</si>
  <si>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</si>
  <si>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</si>
  <si>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</si>
  <si>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</si>
  <si>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</si>
  <si>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</si>
  <si>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</si>
  <si>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</si>
  <si>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</si>
  <si>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</si>
  <si>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</si>
  <si>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</si>
  <si>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</si>
  <si>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</si>
  <si>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</si>
  <si>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</si>
  <si>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</si>
  <si>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</si>
  <si>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</si>
  <si>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</si>
  <si>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</si>
  <si>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</si>
  <si>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</si>
  <si>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</si>
  <si>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</si>
  <si>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</si>
  <si>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</si>
  <si>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</si>
  <si>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</si>
  <si>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</si>
  <si>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</si>
  <si>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</si>
  <si>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</si>
  <si>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</si>
  <si>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</si>
  <si>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</si>
  <si>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</si>
  <si>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</si>
  <si>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</si>
  <si>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</si>
  <si>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</si>
  <si>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</si>
  <si>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</si>
  <si>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</si>
  <si>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</si>
  <si>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</si>
  <si>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</si>
  <si>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</si>
  <si>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</si>
  <si>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</si>
  <si>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</si>
  <si>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</si>
  <si>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</si>
  <si>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</si>
  <si>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</si>
  <si>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</si>
  <si>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</si>
  <si>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</si>
  <si>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</si>
  <si>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</si>
  <si>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</si>
  <si>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</si>
  <si>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</si>
  <si>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</si>
  <si>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</si>
  <si>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</si>
  <si>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</si>
  <si>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</si>
  <si>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</si>
  <si>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</si>
  <si>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</si>
  <si>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</si>
  <si>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</si>
  <si>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</si>
  <si>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</si>
  <si>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</si>
  <si>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</si>
  <si>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</si>
  <si>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</si>
  <si>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</si>
  <si>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</si>
  <si>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</si>
  <si>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</si>
  <si>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</si>
  <si>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</si>
  <si>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</si>
  <si>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</si>
  <si>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</si>
  <si>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</si>
  <si>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</si>
  <si>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</si>
  <si>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</si>
  <si>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</si>
  <si>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</si>
  <si>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</si>
  <si>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</si>
  <si>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</si>
  <si>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</si>
  <si>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</si>
  <si>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</si>
  <si>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</si>
  <si>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</si>
  <si>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</si>
  <si>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</si>
  <si>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</si>
  <si>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</si>
  <si>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</si>
  <si>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</si>
  <si>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</si>
  <si>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</si>
  <si>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</si>
  <si>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</si>
  <si>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</si>
  <si>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</si>
  <si>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</si>
  <si>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</si>
  <si>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</si>
  <si>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</si>
  <si>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</si>
  <si>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</si>
  <si>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</si>
  <si>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</si>
  <si>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</si>
  <si>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</si>
  <si>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</si>
  <si>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</si>
  <si>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</si>
  <si>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</si>
  <si>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</si>
  <si>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</si>
  <si>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</si>
  <si>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</si>
  <si>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</si>
  <si>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</si>
  <si>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</si>
  <si>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</si>
  <si>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</si>
  <si>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</si>
  <si>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</si>
  <si>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</si>
  <si>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</si>
  <si>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</si>
  <si>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</si>
  <si>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</si>
  <si>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</si>
  <si>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</si>
  <si>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</si>
  <si>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</si>
  <si>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</si>
  <si>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</si>
  <si>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</si>
  <si>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</si>
  <si>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</si>
  <si>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</si>
  <si>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</si>
  <si>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</si>
  <si>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</si>
  <si>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</si>
  <si>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</si>
  <si>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</si>
  <si>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</si>
  <si>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</si>
  <si>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</si>
  <si>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</si>
  <si>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</si>
  <si>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</si>
  <si>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</si>
  <si>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</si>
  <si>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</si>
  <si>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</si>
  <si>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</si>
  <si>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</si>
  <si>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</si>
  <si>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</si>
  <si>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</si>
  <si>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</si>
  <si>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</si>
  <si>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</si>
  <si>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</si>
  <si>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</si>
  <si>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</si>
  <si>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</si>
  <si>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</si>
  <si>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</si>
  <si>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</si>
  <si>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</si>
  <si>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</si>
  <si>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</si>
  <si>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</si>
  <si>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</si>
  <si>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</si>
  <si>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</si>
  <si>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</si>
  <si>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</si>
  <si>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</si>
  <si>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</si>
  <si>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</si>
  <si>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</si>
  <si>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</si>
  <si>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</si>
  <si>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</si>
  <si>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</si>
  <si>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</si>
  <si>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</si>
  <si>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</si>
  <si>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</si>
  <si>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</si>
  <si>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</si>
  <si>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</si>
  <si>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</si>
  <si>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</si>
  <si>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</si>
  <si>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</si>
  <si>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</si>
  <si>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</si>
  <si>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</si>
  <si>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</si>
  <si>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</si>
  <si>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</si>
  <si>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</si>
  <si>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</si>
  <si>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</si>
  <si>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</si>
  <si>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</si>
  <si>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</si>
  <si>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</si>
  <si>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</si>
  <si>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</si>
  <si>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</si>
  <si>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</si>
  <si>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</si>
  <si>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</si>
  <si>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</si>
  <si>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</si>
  <si>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</si>
  <si>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</si>
  <si>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</si>
  <si>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</si>
  <si>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</si>
  <si>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</si>
  <si>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</si>
  <si>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</si>
  <si>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</si>
  <si>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</si>
  <si>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</si>
  <si>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</si>
  <si>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</si>
  <si>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</si>
  <si>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</si>
  <si>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</si>
  <si>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</si>
  <si>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</si>
  <si>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</si>
  <si>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</si>
  <si>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</si>
  <si>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</si>
  <si>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</si>
  <si>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</si>
  <si>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</si>
  <si>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</si>
  <si>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</si>
  <si>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</si>
  <si>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</si>
  <si>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</si>
  <si>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</si>
  <si>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</si>
  <si>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</si>
  <si>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</si>
  <si>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</si>
  <si>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</si>
  <si>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</si>
  <si>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</si>
  <si>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</si>
  <si>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</si>
  <si>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</si>
  <si>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</si>
  <si>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</si>
  <si>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</si>
  <si>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</si>
  <si>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</si>
  <si>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</si>
  <si>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</si>
  <si>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</si>
  <si>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</si>
  <si>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</si>
  <si>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</si>
  <si>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</si>
  <si>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</si>
  <si>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</si>
  <si>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</si>
  <si>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</si>
  <si>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</si>
  <si>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</si>
  <si>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</si>
  <si>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</si>
  <si>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</si>
  <si>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</si>
  <si>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</si>
  <si>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</si>
  <si>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</si>
  <si>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</si>
  <si>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</si>
  <si>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</si>
  <si>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</si>
  <si>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</si>
  <si>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</si>
  <si>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</si>
  <si>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</si>
  <si>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</si>
  <si>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</si>
  <si>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</si>
  <si>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</si>
  <si>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</si>
  <si>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</si>
  <si>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</si>
  <si>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</si>
  <si>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</si>
  <si>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</si>
  <si>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</si>
  <si>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</si>
  <si>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</si>
  <si>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</si>
  <si>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</si>
  <si>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</si>
  <si>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</si>
  <si>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</si>
  <si>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</si>
  <si>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</si>
  <si>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</si>
  <si>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</si>
  <si>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</si>
  <si>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</si>
  <si>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</si>
  <si>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</si>
  <si>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</si>
  <si>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</si>
  <si>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</si>
  <si>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</si>
  <si>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</si>
  <si>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</si>
  <si>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</si>
  <si>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</si>
  <si>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</si>
  <si>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</si>
  <si>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</si>
  <si>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</si>
  <si>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</si>
  <si>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</si>
  <si>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</si>
  <si>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</si>
  <si>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</si>
  <si>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</si>
  <si>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</si>
  <si>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</si>
  <si>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</si>
  <si>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</si>
  <si>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</si>
  <si>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</si>
  <si>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</si>
  <si>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</si>
  <si>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</si>
  <si>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</si>
  <si>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</si>
  <si>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</si>
  <si>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</si>
  <si>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</si>
  <si>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</si>
  <si>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</si>
  <si>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</si>
  <si>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</si>
  <si>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</si>
  <si>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</si>
  <si>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</si>
  <si>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</si>
  <si>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</si>
  <si>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</si>
  <si>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</si>
  <si>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</si>
  <si>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</si>
  <si>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</si>
  <si>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</si>
  <si>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</si>
  <si>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</si>
  <si>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</si>
  <si>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</si>
  <si>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</si>
  <si>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</si>
  <si>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</si>
  <si>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</si>
  <si>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</si>
  <si>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</si>
  <si>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</si>
  <si>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</si>
  <si>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</si>
  <si>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</si>
  <si>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</si>
  <si>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</si>
  <si>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</si>
  <si>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</si>
  <si>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</si>
  <si>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</si>
  <si>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</si>
  <si>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</si>
  <si>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</si>
  <si>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</si>
  <si>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</si>
  <si>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</si>
  <si>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</si>
  <si>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</si>
  <si>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</si>
  <si>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</si>
  <si>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</si>
  <si>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</si>
  <si>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</si>
  <si>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</si>
  <si>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</si>
  <si>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</si>
  <si>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</si>
  <si>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</si>
  <si>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</si>
  <si>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</si>
  <si>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</si>
  <si>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</si>
  <si>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</si>
  <si>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</si>
  <si>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</si>
  <si>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</si>
  <si>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</si>
  <si>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</si>
  <si>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</si>
  <si>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</si>
  <si>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</si>
  <si>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</si>
  <si>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</si>
  <si>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</si>
  <si>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</si>
  <si>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</si>
  <si>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</si>
  <si>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</si>
  <si>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</si>
  <si>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</si>
  <si>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</si>
  <si>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</si>
  <si>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</si>
  <si>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</si>
  <si>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</si>
  <si>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</si>
  <si>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</si>
  <si>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</si>
  <si>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</si>
  <si>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</si>
  <si>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</si>
  <si>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</si>
  <si>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</si>
  <si>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</si>
  <si>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</si>
  <si>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</si>
  <si>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</si>
  <si>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</si>
  <si>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</si>
  <si>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</si>
  <si>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</si>
  <si>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</si>
  <si>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</si>
  <si>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</si>
  <si>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</si>
  <si>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</si>
  <si>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</si>
  <si>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</si>
  <si>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</si>
  <si>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</si>
  <si>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</si>
  <si>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</si>
  <si>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</si>
  <si>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</si>
  <si>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</si>
  <si>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</si>
  <si>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</si>
  <si>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</si>
  <si>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</si>
  <si>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</si>
  <si>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</si>
  <si>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</si>
  <si>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</si>
  <si>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</si>
  <si>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</si>
  <si>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</si>
  <si>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</si>
  <si>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</si>
  <si>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</si>
  <si>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</si>
  <si>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</si>
  <si>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</si>
  <si>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</si>
  <si>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</si>
  <si>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</si>
  <si>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</si>
  <si>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</si>
  <si>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</si>
  <si>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</si>
  <si>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</si>
  <si>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</si>
  <si>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</si>
  <si>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</si>
  <si>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</si>
  <si>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</si>
  <si>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</si>
  <si>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</si>
  <si>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</si>
  <si>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</si>
  <si>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</si>
  <si>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</si>
  <si>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</si>
  <si>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</si>
  <si>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</si>
  <si>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</si>
  <si>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</si>
  <si>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</si>
  <si>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</si>
  <si>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</si>
  <si>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</si>
  <si>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</si>
  <si>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</si>
  <si>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</si>
  <si>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</si>
  <si>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</si>
  <si>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</si>
  <si>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</si>
  <si>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</si>
  <si>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</si>
  <si>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</si>
  <si>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</si>
  <si>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</si>
  <si>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</si>
  <si>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</si>
  <si>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</si>
  <si>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</si>
  <si>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</si>
  <si>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</si>
  <si>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</si>
  <si>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</si>
  <si>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</si>
  <si>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</si>
  <si>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</si>
  <si>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</si>
  <si>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</si>
  <si>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</si>
  <si>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</si>
  <si>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</si>
  <si>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</si>
  <si>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</si>
  <si>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</si>
  <si>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</si>
  <si>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</si>
  <si>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</si>
  <si>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</si>
  <si>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</si>
  <si>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</si>
  <si>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</si>
  <si>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</si>
  <si>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</si>
  <si>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</si>
  <si>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</si>
  <si>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</si>
  <si>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</si>
  <si>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</si>
  <si>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</si>
  <si>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</si>
  <si>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</si>
  <si>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</si>
  <si>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</si>
  <si>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</si>
  <si>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</si>
  <si>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</si>
  <si>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</si>
  <si>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</si>
  <si>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</si>
  <si>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</si>
  <si>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</si>
  <si>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</si>
  <si>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</si>
  <si>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</si>
  <si>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</si>
  <si>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</si>
  <si>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</si>
  <si>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</si>
  <si>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</si>
  <si>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</si>
  <si>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</si>
  <si>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</si>
  <si>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</si>
  <si>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</si>
  <si>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</si>
  <si>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</si>
  <si>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</si>
  <si>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</si>
  <si>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</si>
  <si>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</si>
  <si>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</si>
  <si>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</si>
  <si>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</si>
  <si>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</si>
  <si>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</si>
  <si>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</si>
  <si>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</si>
  <si>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</si>
  <si>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</si>
  <si>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</si>
  <si>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</si>
  <si>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</si>
  <si>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</si>
  <si>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</si>
  <si>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</si>
  <si>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</si>
  <si>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</si>
  <si>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</si>
  <si>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</si>
  <si>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</si>
  <si>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</si>
  <si>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</si>
  <si>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</si>
  <si>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</si>
  <si>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</si>
  <si>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</si>
  <si>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</si>
  <si>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</si>
  <si>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</si>
  <si>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</si>
  <si>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</si>
  <si>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</si>
  <si>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</si>
  <si>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</si>
  <si>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</si>
  <si>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</si>
  <si>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</si>
  <si>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</si>
  <si>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</si>
  <si>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</si>
  <si>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</si>
  <si>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</si>
  <si>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</si>
  <si>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</si>
  <si>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</si>
  <si>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</si>
  <si>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</si>
  <si>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</si>
  <si>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</si>
  <si>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</si>
  <si>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</si>
  <si>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</si>
  <si>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</si>
  <si>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</si>
  <si>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</si>
  <si>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</si>
  <si>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</si>
  <si>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</si>
  <si>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</si>
  <si>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</si>
  <si>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</si>
  <si>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</si>
  <si>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</si>
  <si>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</si>
  <si>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</si>
  <si>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</si>
  <si>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</si>
  <si>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</si>
  <si>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</si>
  <si>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</si>
  <si>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</si>
  <si>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</si>
  <si>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</si>
  <si>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</si>
  <si>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</si>
  <si>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</si>
  <si>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</si>
  <si>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</si>
  <si>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</si>
  <si>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</si>
  <si>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</si>
  <si>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</si>
  <si>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</si>
  <si>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</si>
  <si>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</si>
  <si>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</si>
  <si>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</si>
  <si>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</si>
  <si>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</si>
  <si>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</si>
  <si>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</si>
  <si>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</si>
  <si>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</si>
  <si>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</si>
  <si>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</si>
  <si>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</si>
  <si>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</si>
  <si>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</si>
  <si>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</si>
  <si>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</si>
  <si>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</si>
  <si>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</si>
  <si>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</si>
  <si>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</si>
  <si>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</si>
  <si>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</si>
  <si>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</si>
  <si>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</si>
  <si>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</si>
  <si>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</si>
  <si>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</si>
  <si>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</si>
  <si>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</si>
  <si>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</si>
  <si>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</si>
  <si>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</si>
  <si>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</si>
  <si>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</si>
  <si>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</si>
  <si>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</si>
  <si>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</si>
  <si>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</si>
  <si>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</si>
  <si>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</si>
  <si>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</si>
  <si>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</si>
  <si>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</si>
  <si>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</si>
  <si>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</si>
  <si>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</si>
  <si>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</si>
  <si>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</si>
  <si>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</si>
  <si>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</si>
  <si>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</si>
  <si>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</si>
  <si>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</si>
  <si>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</si>
  <si>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</si>
  <si>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</si>
  <si>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</si>
  <si>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</si>
  <si>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</si>
  <si>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</si>
  <si>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</si>
  <si>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</si>
  <si>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</si>
  <si>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</si>
  <si>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</si>
  <si>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</si>
  <si>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</si>
  <si>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</si>
  <si>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</si>
  <si>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</si>
  <si>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</si>
  <si>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</si>
  <si>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</si>
  <si>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</si>
  <si>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</si>
  <si>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</si>
  <si>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</si>
  <si>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</si>
  <si>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</si>
  <si>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</si>
  <si>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</si>
  <si>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</si>
  <si>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</si>
  <si>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</si>
  <si>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</si>
  <si>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</si>
  <si>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</si>
  <si>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</si>
  <si>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</si>
  <si>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</si>
  <si>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</si>
  <si>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</si>
  <si>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</si>
  <si>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</si>
  <si>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</si>
  <si>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</si>
  <si>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</si>
  <si>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</si>
  <si>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</si>
  <si>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</si>
  <si>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</si>
  <si>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</si>
  <si>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</si>
  <si>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</si>
  <si>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</si>
  <si>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</si>
  <si>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</si>
  <si>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</si>
  <si>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</si>
  <si>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</si>
  <si>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</si>
  <si>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</si>
  <si>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</si>
  <si>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</si>
  <si>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</si>
  <si>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</si>
  <si>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</si>
  <si>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</si>
  <si>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</si>
  <si>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</si>
  <si>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</si>
  <si>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</si>
  <si>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</si>
  <si>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</si>
  <si>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</si>
  <si>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</si>
  <si>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</si>
  <si>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</si>
  <si>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</si>
  <si>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</si>
  <si>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</si>
  <si>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</si>
  <si>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</si>
  <si>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</si>
  <si>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</si>
  <si>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</si>
  <si>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</si>
  <si>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</si>
  <si>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</si>
  <si>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</si>
  <si>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</si>
  <si>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</si>
  <si>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</si>
  <si>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</si>
  <si>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</si>
  <si>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</si>
  <si>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</si>
  <si>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</si>
  <si>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</si>
  <si>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</si>
  <si>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</si>
  <si>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</si>
  <si>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</si>
  <si>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</si>
  <si>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</si>
  <si>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</si>
  <si>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</si>
  <si>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</si>
  <si>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</si>
  <si>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</si>
  <si>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</si>
  <si>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</si>
  <si>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</si>
  <si>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</si>
  <si>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</si>
  <si>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</si>
  <si>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</si>
  <si>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</si>
  <si>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</si>
  <si>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</si>
  <si>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</si>
  <si>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</si>
  <si>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</si>
  <si>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</si>
  <si>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</si>
  <si>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</si>
  <si>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</si>
  <si>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</si>
  <si>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</si>
  <si>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</si>
  <si>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</si>
  <si>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</si>
  <si>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</si>
  <si>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</si>
  <si>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</si>
  <si>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</si>
  <si>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</si>
  <si>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</si>
  <si>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</si>
  <si>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</si>
  <si>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</si>
  <si>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</si>
  <si>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</si>
  <si>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</si>
  <si>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</si>
  <si>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</si>
  <si>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</si>
  <si>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</si>
  <si>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</si>
  <si>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</si>
  <si>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</si>
  <si>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</si>
  <si>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</si>
  <si>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</si>
  <si>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</si>
  <si>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</si>
  <si>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</si>
  <si>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</si>
  <si>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</si>
  <si>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</si>
  <si>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</si>
  <si>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</si>
  <si>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</si>
  <si>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</si>
  <si>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</si>
  <si>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</si>
  <si>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</si>
  <si>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</si>
  <si>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</si>
  <si>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</si>
  <si>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</si>
  <si>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</si>
  <si>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</si>
  <si>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</si>
  <si>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</si>
  <si>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</si>
  <si>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</si>
  <si>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</si>
  <si>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</si>
  <si>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</si>
  <si>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</si>
  <si>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</si>
  <si>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</si>
  <si>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</si>
  <si>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</si>
  <si>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</si>
  <si>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</si>
  <si>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</si>
  <si>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</si>
  <si>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</si>
  <si>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</si>
  <si>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</si>
  <si>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</si>
  <si>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</si>
  <si>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</si>
  <si>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</si>
  <si>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</si>
  <si>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</si>
  <si>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</si>
  <si>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</si>
  <si>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</si>
  <si>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</si>
  <si>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</si>
  <si>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</si>
  <si>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</si>
  <si>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</si>
  <si>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</si>
  <si>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</si>
  <si>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</si>
  <si>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</si>
  <si>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</si>
  <si>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</si>
  <si>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</si>
  <si>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</si>
  <si>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</si>
  <si>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</si>
  <si>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</si>
  <si>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</si>
  <si>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</si>
  <si>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</si>
  <si>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</si>
  <si>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</si>
  <si>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</si>
  <si>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</si>
  <si>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</si>
  <si>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</si>
  <si>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</si>
  <si>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</si>
  <si>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</si>
  <si>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</si>
  <si>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</si>
  <si>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</si>
  <si>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</si>
  <si>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</si>
  <si>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</si>
  <si>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</si>
  <si>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</si>
  <si>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</si>
  <si>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</si>
  <si>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</si>
  <si>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</si>
  <si>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</si>
  <si>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</si>
  <si>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</si>
  <si>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</si>
  <si>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</si>
  <si>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</si>
  <si>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</si>
  <si>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</si>
  <si>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</si>
  <si>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</si>
  <si>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</si>
  <si>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</si>
  <si>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</si>
  <si>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</si>
  <si>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</si>
  <si>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</si>
  <si>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</si>
  <si>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</si>
  <si>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</si>
  <si>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</si>
  <si>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</si>
  <si>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</si>
  <si>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</si>
  <si>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</si>
  <si>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</si>
  <si>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</si>
  <si>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</si>
  <si>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</si>
  <si>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</si>
  <si>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</si>
  <si>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</si>
  <si>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</si>
  <si>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</si>
  <si>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</si>
  <si>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</si>
  <si>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</si>
  <si>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</si>
  <si>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</si>
  <si>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</si>
  <si>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</si>
  <si>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</si>
  <si>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</si>
  <si>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</si>
  <si>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</si>
  <si>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</si>
  <si>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</si>
  <si>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</si>
  <si>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</si>
  <si>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</si>
  <si>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</si>
  <si>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</si>
  <si>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</si>
  <si>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</si>
  <si>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</si>
  <si>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</si>
  <si>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</si>
  <si>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</si>
  <si>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</si>
  <si>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</si>
  <si>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</si>
  <si>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</si>
  <si>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</si>
  <si>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</si>
  <si>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</si>
  <si>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</si>
  <si>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</si>
  <si>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</si>
  <si>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</si>
  <si>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</si>
  <si>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</si>
  <si>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</si>
  <si>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</si>
  <si>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</si>
  <si>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</si>
  <si>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</si>
  <si>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</si>
  <si>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</si>
  <si>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</si>
  <si>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</si>
  <si>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</si>
  <si>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</si>
  <si>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</si>
  <si>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</si>
  <si>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</si>
  <si>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</si>
  <si>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</si>
  <si>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</si>
  <si>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</si>
  <si>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</si>
  <si>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</si>
  <si>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</si>
  <si>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</si>
  <si>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</si>
  <si>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</si>
  <si>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</si>
  <si>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</si>
  <si>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</si>
  <si>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</si>
  <si>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</si>
  <si>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</si>
  <si>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</si>
  <si>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</si>
  <si>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</si>
  <si>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</si>
  <si>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</si>
  <si>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</si>
  <si>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</si>
  <si>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</si>
  <si>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</si>
  <si>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</si>
  <si>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</si>
  <si>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</si>
  <si>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</si>
  <si>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</si>
  <si>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</si>
  <si>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</si>
  <si>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</si>
  <si>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</si>
  <si>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</si>
  <si>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</si>
  <si>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</si>
  <si>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</si>
  <si>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</si>
  <si>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</si>
  <si>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</si>
  <si>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</si>
  <si>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</si>
  <si>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</si>
  <si>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</si>
  <si>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</si>
  <si>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</si>
  <si>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</si>
  <si>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</si>
  <si>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</si>
  <si>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</si>
  <si>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</si>
  <si>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</si>
  <si>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</si>
  <si>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</si>
  <si>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</si>
  <si>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</si>
  <si>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</si>
  <si>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</si>
  <si>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</si>
  <si>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</si>
  <si>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</si>
  <si>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</si>
  <si>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</si>
  <si>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</si>
  <si>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</si>
  <si>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</si>
  <si>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</si>
  <si>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</si>
  <si>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</si>
  <si>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</si>
  <si>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</si>
  <si>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</si>
  <si>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</si>
  <si>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</si>
  <si>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</si>
  <si>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</si>
  <si>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</si>
  <si>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</si>
  <si>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</si>
  <si>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</si>
  <si>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</si>
  <si>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</si>
  <si>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</si>
  <si>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</si>
  <si>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</si>
  <si>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</si>
  <si>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</si>
  <si>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</si>
  <si>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</si>
  <si>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</si>
  <si>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</si>
  <si>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</si>
  <si>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</si>
  <si>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</si>
  <si>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</si>
  <si>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</si>
  <si>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</si>
  <si>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</si>
  <si>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</si>
  <si>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</si>
  <si>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</si>
  <si>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</si>
  <si>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</si>
  <si>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</si>
  <si>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</si>
  <si>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</si>
  <si>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</si>
  <si>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</si>
  <si>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</si>
  <si>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</si>
  <si>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</si>
  <si>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</si>
  <si>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</si>
  <si>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</si>
  <si>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</si>
  <si>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</si>
  <si>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</si>
  <si>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</si>
  <si>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</si>
  <si>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</si>
  <si>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</si>
  <si>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</si>
  <si>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</si>
  <si>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</si>
  <si>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</si>
  <si>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</si>
  <si>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</si>
  <si>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</si>
  <si>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</si>
  <si>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</si>
  <si>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</si>
  <si>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</si>
  <si>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</si>
  <si>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</si>
  <si>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</si>
  <si>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</si>
  <si>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</si>
  <si>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</si>
  <si>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</si>
  <si>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</si>
  <si>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</si>
  <si>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</si>
  <si>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</si>
  <si>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</si>
  <si>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</si>
  <si>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</si>
  <si>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</si>
  <si>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</si>
  <si>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</si>
  <si>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</si>
  <si>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</si>
  <si>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</si>
  <si>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</si>
  <si>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</si>
  <si>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</si>
  <si>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</si>
  <si>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</si>
  <si>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</si>
  <si>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</si>
  <si>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</si>
  <si>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</si>
  <si>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</si>
  <si>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</si>
  <si>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</si>
  <si>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</si>
  <si>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</si>
  <si>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</si>
  <si>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</si>
  <si>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</si>
  <si>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</si>
  <si>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</si>
  <si>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</si>
  <si>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</si>
  <si>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</si>
  <si>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</si>
  <si>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</si>
  <si>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</si>
  <si>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</si>
  <si>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</si>
  <si>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</si>
  <si>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</si>
  <si>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</si>
  <si>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</si>
  <si>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</si>
  <si>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</si>
  <si>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</si>
  <si>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</si>
  <si>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</si>
  <si>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</si>
  <si>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</si>
  <si>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</si>
  <si>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</si>
  <si>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</si>
  <si>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</si>
  <si>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</si>
  <si>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</si>
  <si>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</si>
  <si>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</si>
  <si>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</si>
  <si>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</si>
  <si>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</si>
  <si>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</si>
  <si>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</si>
  <si>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</si>
  <si>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</si>
  <si>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</si>
  <si>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</si>
  <si>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</si>
  <si>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</si>
  <si>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</si>
  <si>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</si>
  <si>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</si>
  <si>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</si>
  <si>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</si>
  <si>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</si>
  <si>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</si>
  <si>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</si>
  <si>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</si>
  <si>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</si>
  <si>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</si>
  <si>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</si>
  <si>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</si>
  <si>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</si>
  <si>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</si>
  <si>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</si>
  <si>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</si>
  <si>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</si>
  <si>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</si>
  <si>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</si>
  <si>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</si>
  <si>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</si>
  <si>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</si>
  <si>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</si>
  <si>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</si>
  <si>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</si>
  <si>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</si>
  <si>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</si>
  <si>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</si>
  <si>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</si>
  <si>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</si>
  <si>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</si>
  <si>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</si>
  <si>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</si>
  <si>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</si>
  <si>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</si>
  <si>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</si>
  <si>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</si>
  <si>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</si>
  <si>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</si>
  <si>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</si>
  <si>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</si>
  <si>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</si>
  <si>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</si>
  <si>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</si>
  <si>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</si>
  <si>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</si>
  <si>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</si>
  <si>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</si>
  <si>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</si>
  <si>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</si>
  <si>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</si>
  <si>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</si>
  <si>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</si>
  <si>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</si>
  <si>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</si>
  <si>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</si>
  <si>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</si>
  <si>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</si>
  <si>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</si>
  <si>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</si>
  <si>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</si>
  <si>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</si>
  <si>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</si>
  <si>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</si>
  <si>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</si>
  <si>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</si>
  <si>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</si>
  <si>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</si>
  <si>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</si>
  <si>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</si>
  <si>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</si>
  <si>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</si>
  <si>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</si>
  <si>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</si>
  <si>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</si>
  <si>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</si>
  <si>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</si>
  <si>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</si>
  <si>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</si>
  <si>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</si>
  <si>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</si>
  <si>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</si>
  <si>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</si>
  <si>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</si>
  <si>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</si>
  <si>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</si>
  <si>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</si>
  <si>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</si>
  <si>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</si>
  <si>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</si>
  <si>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</si>
  <si>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</si>
  <si>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</si>
  <si>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</si>
  <si>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</si>
  <si>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</si>
  <si>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</si>
  <si>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</si>
  <si>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</si>
  <si>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</si>
  <si>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</si>
  <si>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</si>
  <si>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</si>
  <si>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</si>
  <si>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</si>
  <si>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</si>
  <si>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</si>
  <si>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</si>
  <si>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</si>
  <si>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</si>
  <si>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</si>
  <si>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</si>
  <si>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</si>
  <si>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</si>
  <si>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</si>
  <si>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</si>
  <si>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</si>
  <si>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</si>
  <si>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</si>
  <si>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</si>
  <si>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</si>
  <si>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</si>
  <si>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</si>
  <si>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</si>
  <si>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</si>
  <si>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</si>
  <si>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</si>
  <si>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</si>
  <si>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</si>
  <si>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</si>
  <si>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</si>
  <si>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</si>
  <si>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</si>
  <si>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</si>
  <si>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</si>
  <si>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</si>
  <si>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</si>
  <si>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</si>
  <si>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</si>
  <si>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</si>
  <si>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</si>
  <si>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</si>
  <si>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</si>
  <si>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</si>
  <si>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</si>
  <si>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</si>
  <si>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</si>
  <si>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</si>
  <si>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</si>
  <si>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</si>
  <si>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</si>
  <si>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</si>
  <si>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</si>
  <si>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</si>
  <si>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</si>
  <si>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</si>
  <si>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</si>
  <si>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</si>
  <si>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</si>
  <si>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</si>
  <si>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</si>
  <si>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</si>
  <si>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</si>
  <si>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</si>
  <si>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</si>
  <si>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</si>
  <si>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</si>
  <si>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</si>
  <si>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</si>
  <si>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</si>
  <si>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</si>
  <si>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</si>
  <si>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</si>
  <si>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</si>
  <si>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</si>
  <si>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</si>
  <si>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</si>
  <si>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</si>
  <si>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</si>
  <si>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</si>
  <si>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</si>
  <si>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</si>
  <si>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</si>
  <si>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</si>
  <si>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</si>
  <si>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</si>
  <si>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</si>
  <si>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</si>
  <si>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</si>
  <si>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</si>
  <si>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</si>
  <si>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</si>
  <si>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</si>
  <si>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</si>
  <si>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</si>
  <si>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</si>
  <si>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</si>
  <si>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</si>
  <si>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</si>
  <si>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</si>
  <si>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</si>
  <si>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</si>
  <si>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</si>
  <si>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</si>
  <si>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</si>
  <si>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</si>
  <si>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</si>
  <si>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</si>
  <si>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</si>
  <si>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</si>
  <si>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</si>
  <si>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</si>
  <si>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</si>
  <si>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</si>
  <si>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</si>
  <si>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</si>
  <si>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</si>
  <si>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</si>
  <si>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</si>
  <si>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</si>
  <si>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</si>
  <si>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</si>
  <si>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</si>
  <si>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</si>
  <si>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</si>
  <si>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</si>
  <si>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</si>
  <si>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</si>
  <si>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</si>
  <si>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</si>
  <si>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</si>
  <si>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</si>
  <si>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</si>
  <si>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</si>
  <si>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</si>
  <si>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</si>
  <si>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</si>
  <si>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</si>
  <si>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</si>
  <si>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</si>
  <si>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</si>
  <si>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</si>
  <si>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</si>
  <si>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</si>
  <si>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</si>
  <si>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</si>
  <si>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</si>
  <si>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</si>
  <si>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</si>
  <si>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</si>
  <si>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</si>
  <si>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</si>
  <si>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</si>
  <si>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</si>
  <si>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</si>
  <si>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</si>
  <si>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</si>
  <si>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</si>
  <si>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</si>
  <si>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</si>
  <si>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</si>
  <si>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</si>
  <si>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</si>
  <si>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</si>
  <si>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</si>
  <si>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</si>
  <si>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</si>
  <si>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</si>
  <si>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</si>
  <si>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</si>
  <si>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</si>
  <si>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</si>
  <si>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</si>
  <si>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</si>
  <si>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</si>
  <si>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</si>
  <si>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</si>
  <si>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</si>
  <si>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</si>
  <si>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</si>
  <si>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</si>
  <si>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</si>
  <si>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</si>
  <si>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</si>
  <si>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</si>
  <si>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</si>
  <si>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</si>
  <si>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</si>
  <si>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</si>
  <si>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</si>
  <si>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</si>
  <si>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</si>
  <si>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</si>
  <si>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</si>
  <si>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</si>
  <si>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</si>
  <si>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</si>
  <si>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</si>
  <si>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</si>
  <si>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</si>
  <si>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</si>
  <si>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</si>
  <si>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</si>
  <si>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</si>
  <si>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</si>
  <si>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</si>
  <si>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</si>
  <si>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</si>
  <si>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</si>
  <si>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</si>
  <si>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</si>
  <si>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</si>
  <si>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</si>
  <si>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</si>
  <si>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</si>
  <si>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</si>
  <si>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</si>
  <si>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</si>
  <si>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</si>
  <si>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</si>
  <si>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</si>
  <si>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</si>
  <si>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</si>
  <si>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</si>
  <si>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</si>
  <si>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</si>
  <si>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</si>
  <si>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</si>
  <si>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</si>
  <si>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</si>
  <si>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</si>
  <si>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</si>
  <si>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</si>
  <si>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</si>
  <si>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</si>
  <si>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</si>
  <si>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</si>
  <si>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</si>
  <si>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</si>
  <si>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</si>
  <si>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</si>
  <si>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</si>
  <si>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</si>
  <si>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</si>
  <si>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</si>
  <si>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</si>
  <si>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</si>
  <si>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</si>
  <si>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</si>
  <si>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</si>
  <si>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</si>
  <si>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</si>
  <si>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</si>
  <si>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</si>
  <si>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</si>
  <si>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</si>
  <si>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</si>
  <si>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</si>
  <si>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</si>
  <si>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</si>
  <si>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</si>
  <si>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</si>
  <si>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</si>
  <si>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</si>
  <si>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</si>
  <si>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</si>
  <si>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</si>
  <si>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</si>
  <si>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</si>
  <si>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</si>
  <si>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</si>
  <si>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</si>
  <si>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</si>
  <si>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</si>
  <si>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</si>
  <si>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</si>
  <si>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</si>
  <si>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</si>
  <si>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</si>
  <si>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</si>
  <si>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</si>
  <si>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</si>
  <si>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</si>
  <si>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</si>
  <si>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</si>
  <si>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</si>
  <si>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</si>
  <si>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</si>
  <si>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</si>
  <si>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</si>
  <si>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</si>
  <si>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</si>
  <si>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</si>
  <si>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</si>
  <si>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</si>
  <si>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</si>
  <si>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</si>
  <si>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</si>
  <si>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</si>
  <si>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</si>
  <si>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</si>
  <si>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</si>
  <si>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</si>
  <si>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</si>
  <si>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</si>
  <si>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</si>
  <si>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</si>
  <si>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</si>
  <si>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</si>
  <si>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</si>
  <si>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</si>
  <si>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</si>
  <si>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</si>
  <si>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</si>
  <si>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</si>
  <si>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</si>
  <si>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</si>
  <si>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</si>
  <si>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</si>
  <si>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</si>
  <si>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</si>
  <si>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</si>
  <si>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</si>
  <si>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</si>
  <si>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</si>
  <si>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</si>
  <si>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</si>
  <si>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</si>
  <si>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</si>
  <si>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</si>
  <si>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</si>
  <si>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</si>
  <si>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</si>
  <si>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</si>
  <si>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</si>
  <si>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</si>
  <si>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</si>
  <si>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</si>
  <si>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</si>
  <si>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</si>
  <si>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</si>
  <si>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</si>
  <si>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</si>
  <si>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</si>
  <si>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</si>
  <si>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</si>
  <si>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</si>
  <si>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</si>
  <si>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</si>
  <si>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</si>
  <si>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</si>
  <si>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</si>
  <si>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</si>
  <si>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</si>
  <si>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</si>
  <si>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</si>
  <si>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</si>
  <si>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</si>
  <si>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</si>
  <si>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</si>
  <si>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</si>
  <si>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</si>
  <si>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</si>
  <si>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</si>
  <si>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</si>
  <si>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</si>
  <si>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</si>
  <si>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</si>
  <si>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</si>
  <si>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</si>
  <si>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</si>
  <si>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</si>
  <si>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</si>
  <si>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</si>
  <si>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</si>
  <si>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</si>
  <si>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</si>
  <si>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</si>
  <si>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</si>
  <si>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</si>
  <si>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</si>
  <si>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</si>
  <si>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</si>
  <si>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</si>
  <si>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</si>
  <si>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</si>
  <si>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</si>
  <si>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</si>
  <si>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</si>
  <si>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</si>
  <si>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</si>
  <si>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</si>
  <si>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</si>
  <si>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</si>
  <si>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</si>
  <si>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</si>
  <si>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</si>
  <si>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</si>
  <si>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</si>
  <si>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</si>
  <si>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</si>
  <si>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</si>
  <si>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</si>
  <si>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</si>
  <si>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</si>
  <si>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</si>
  <si>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</si>
  <si>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</si>
  <si>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</si>
  <si>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</si>
  <si>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</si>
  <si>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</si>
  <si>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</si>
  <si>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</si>
  <si>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</si>
  <si>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</si>
  <si>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</si>
  <si>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</si>
  <si>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</si>
  <si>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</si>
  <si>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</si>
  <si>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</si>
  <si>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</si>
  <si>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</si>
  <si>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</si>
  <si>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</si>
  <si>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</si>
  <si>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</si>
  <si>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</si>
  <si>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</si>
  <si>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</si>
  <si>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</si>
  <si>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</si>
  <si>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</si>
  <si>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</si>
  <si>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</si>
  <si>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</si>
  <si>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</si>
  <si>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</si>
  <si>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</si>
  <si>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</si>
  <si>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</si>
  <si>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</si>
  <si>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</si>
  <si>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</si>
  <si>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</si>
  <si>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</si>
  <si>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</si>
  <si>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</si>
  <si>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</si>
  <si>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</si>
  <si>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</si>
  <si>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</si>
  <si>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</si>
  <si>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</si>
  <si>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</si>
  <si>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</si>
  <si>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</si>
  <si>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</si>
  <si>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</si>
  <si>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</si>
  <si>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</si>
  <si>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</si>
  <si>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</si>
  <si>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</si>
  <si>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</si>
  <si>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</si>
  <si>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</si>
  <si>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</si>
  <si>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</si>
  <si>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</si>
  <si>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</si>
  <si>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</si>
  <si>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</si>
  <si>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</si>
  <si>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</si>
  <si>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</si>
  <si>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</si>
  <si>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</si>
  <si>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</si>
  <si>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</si>
  <si>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</si>
  <si>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</si>
  <si>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</si>
  <si>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</si>
  <si>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</si>
  <si>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</si>
  <si>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</si>
  <si>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</si>
  <si>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</si>
  <si>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</si>
  <si>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</si>
  <si>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</si>
  <si>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</si>
  <si>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</si>
  <si>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</si>
  <si>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</si>
  <si>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</si>
  <si>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</si>
  <si>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</si>
  <si>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</si>
  <si>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</si>
  <si>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</si>
  <si>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</si>
  <si>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</si>
  <si>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</si>
  <si>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</si>
  <si>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</si>
  <si>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</si>
  <si>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</si>
  <si>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</si>
  <si>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</si>
  <si>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</si>
  <si>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</si>
  <si>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</si>
  <si>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</si>
  <si>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</si>
  <si>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</si>
  <si>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</si>
  <si>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</si>
  <si>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</si>
  <si>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</si>
  <si>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</si>
  <si>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</si>
  <si>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</si>
  <si>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</si>
  <si>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</si>
  <si>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</si>
  <si>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</si>
  <si>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</si>
  <si>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</si>
  <si>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</si>
  <si>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</si>
  <si>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</si>
  <si>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</si>
  <si>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</si>
  <si>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</si>
  <si>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</si>
  <si>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</si>
  <si>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</si>
  <si>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</si>
  <si>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</si>
  <si>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</si>
  <si>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</si>
  <si>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</si>
  <si>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</si>
  <si>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</si>
  <si>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</si>
  <si>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</si>
  <si>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</si>
  <si>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</si>
  <si>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</si>
  <si>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</si>
  <si>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</si>
  <si>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</si>
  <si>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</si>
  <si>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</si>
  <si>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</si>
  <si>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</si>
  <si>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</si>
  <si>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</si>
  <si>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</si>
  <si>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</si>
  <si>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</si>
  <si>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</si>
  <si>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</si>
  <si>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</si>
  <si>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</si>
  <si>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</si>
  <si>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</si>
  <si>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</si>
  <si>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</si>
  <si>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</si>
  <si>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</si>
  <si>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</si>
  <si>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</si>
  <si>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</si>
  <si>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</si>
  <si>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</si>
  <si>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</si>
  <si>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</si>
  <si>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</si>
  <si>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</si>
  <si>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</si>
  <si>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</si>
  <si>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</si>
  <si>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</si>
  <si>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</si>
  <si>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</si>
  <si>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</si>
  <si>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</si>
  <si>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</si>
  <si>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</si>
  <si>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</si>
  <si>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</si>
  <si>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</si>
  <si>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</si>
  <si>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</si>
  <si>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</si>
  <si>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</si>
  <si>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</si>
  <si>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</si>
  <si>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</si>
  <si>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</si>
  <si>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</si>
  <si>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</si>
  <si>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</si>
  <si>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</si>
  <si>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</si>
  <si>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</si>
  <si>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</si>
  <si>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</si>
  <si>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</si>
  <si>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</si>
  <si>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</si>
  <si>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</si>
  <si>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</si>
  <si>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</si>
  <si>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</si>
  <si>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</si>
  <si>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</si>
  <si>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</si>
  <si>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</si>
  <si>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</si>
  <si>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</si>
  <si>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</si>
  <si>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</si>
  <si>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</si>
  <si>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</si>
  <si>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</si>
  <si>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</si>
  <si>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</si>
  <si>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</si>
  <si>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</si>
  <si>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</si>
  <si>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</si>
  <si>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</si>
  <si>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</si>
  <si>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</si>
  <si>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</si>
  <si>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</si>
  <si>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</si>
  <si>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</si>
  <si>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</si>
  <si>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</si>
  <si>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</si>
  <si>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</si>
  <si>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</si>
  <si>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</si>
  <si>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</si>
  <si>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</si>
  <si>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</si>
  <si>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</si>
  <si>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</si>
  <si>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</si>
  <si>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</si>
  <si>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</si>
  <si>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</si>
  <si>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</si>
  <si>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</si>
  <si>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</si>
  <si>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</si>
  <si>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</si>
  <si>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</si>
  <si>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</si>
  <si>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</si>
  <si>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</si>
  <si>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</si>
  <si>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</si>
  <si>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</si>
  <si>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</si>
  <si>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</si>
  <si>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</si>
  <si>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</si>
  <si>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</si>
  <si>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</si>
  <si>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</si>
  <si>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</si>
  <si>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</si>
  <si>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</si>
  <si>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</si>
  <si>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</si>
  <si>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</si>
  <si>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</si>
  <si>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</si>
  <si>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</si>
  <si>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</si>
  <si>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</si>
  <si>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</si>
  <si>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</si>
  <si>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</si>
  <si>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</si>
  <si>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</si>
  <si>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</si>
  <si>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</si>
  <si>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</si>
  <si>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</si>
  <si>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</si>
  <si>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</si>
  <si>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</si>
  <si>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</si>
  <si>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</si>
  <si>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</si>
  <si>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</si>
  <si>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</si>
  <si>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</si>
  <si>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</si>
  <si>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</si>
  <si>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</si>
  <si>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</si>
  <si>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</si>
  <si>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</si>
  <si>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</si>
  <si>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</si>
  <si>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</si>
  <si>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</si>
  <si>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</si>
  <si>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</si>
  <si>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</si>
  <si>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</si>
  <si>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</si>
  <si>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</si>
  <si>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</si>
  <si>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</si>
  <si>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</si>
  <si>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</si>
  <si>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</si>
  <si>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</si>
  <si>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</si>
  <si>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</si>
  <si>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</si>
  <si>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</si>
  <si>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</si>
  <si>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</si>
  <si>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</si>
  <si>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</si>
  <si>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</si>
  <si>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</si>
  <si>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</si>
  <si>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</si>
  <si>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</si>
  <si>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</si>
  <si>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</si>
  <si>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</si>
  <si>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</si>
  <si>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</si>
  <si>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</si>
  <si>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</si>
  <si>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</si>
  <si>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</si>
  <si>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</si>
  <si>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</si>
  <si>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</si>
  <si>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</si>
  <si>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</si>
  <si>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</si>
  <si>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</si>
  <si>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</si>
  <si>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</si>
  <si>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</si>
  <si>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</si>
  <si>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</si>
  <si>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</si>
  <si>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</si>
  <si>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</si>
  <si>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</si>
  <si>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</si>
  <si>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</si>
  <si>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</si>
  <si>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</si>
  <si>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</si>
  <si>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</si>
  <si>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</si>
  <si>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</si>
  <si>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</si>
  <si>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</si>
  <si>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</si>
  <si>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</si>
  <si>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</si>
  <si>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</si>
  <si>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</si>
  <si>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</si>
  <si>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</si>
  <si>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</si>
  <si>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</si>
  <si>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</si>
  <si>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</si>
  <si>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</si>
  <si>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</si>
  <si>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</si>
  <si>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</si>
  <si>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</si>
  <si>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</si>
  <si>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</si>
  <si>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</si>
  <si>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</si>
  <si>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</si>
  <si>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</si>
  <si>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</si>
  <si>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</si>
  <si>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</si>
  <si>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</si>
  <si>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</si>
  <si>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</si>
  <si>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</si>
  <si>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</si>
  <si>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</si>
  <si>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</si>
  <si>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</si>
  <si>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</si>
  <si>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</si>
  <si>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</si>
  <si>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</si>
  <si>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</si>
  <si>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</si>
  <si>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</si>
  <si>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</si>
  <si>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</si>
  <si>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</si>
  <si>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</si>
  <si>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</si>
  <si>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</si>
  <si>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</si>
  <si>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</si>
  <si>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</si>
  <si>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</si>
  <si>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</si>
  <si>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</si>
  <si>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</si>
  <si>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</si>
  <si>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</si>
  <si>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</si>
  <si>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</si>
  <si>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</si>
  <si>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</si>
  <si>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</si>
  <si>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</si>
  <si>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</si>
  <si>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</si>
  <si>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</si>
  <si>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</si>
  <si>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</si>
  <si>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</si>
  <si>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</si>
  <si>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</si>
  <si>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</si>
  <si>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</si>
  <si>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</si>
  <si>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</si>
  <si>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</si>
  <si>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</si>
  <si>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</si>
  <si>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</si>
  <si>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</si>
  <si>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</si>
  <si>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</si>
  <si>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</si>
  <si>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</si>
  <si>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</si>
  <si>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</si>
  <si>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</si>
  <si>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</si>
  <si>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</si>
  <si>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</si>
  <si>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</si>
  <si>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</si>
  <si>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</si>
  <si>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</si>
  <si>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</si>
  <si>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</si>
  <si>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</si>
  <si>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</si>
  <si>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</si>
  <si>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</si>
  <si>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</si>
  <si>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</si>
  <si>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</si>
  <si>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</si>
  <si>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</si>
  <si>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</si>
  <si>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</si>
  <si>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</si>
  <si>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</si>
  <si>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</si>
  <si>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</si>
  <si>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</si>
  <si>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</si>
  <si>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</si>
  <si>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</si>
  <si>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</si>
  <si>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</si>
  <si>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</si>
  <si>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</si>
  <si>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</si>
  <si>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</si>
  <si>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</si>
  <si>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</si>
  <si>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</si>
  <si>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</si>
  <si>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</si>
  <si>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</si>
  <si>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</si>
  <si>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</si>
  <si>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</si>
  <si>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</si>
  <si>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</si>
  <si>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</si>
  <si>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</si>
  <si>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</si>
  <si>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</si>
  <si>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</si>
  <si>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</si>
  <si>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</si>
  <si>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</si>
  <si>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</si>
  <si>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</si>
  <si>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</si>
  <si>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</si>
  <si>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</si>
  <si>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</si>
  <si>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</si>
  <si>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</si>
  <si>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</si>
  <si>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</si>
  <si>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</si>
  <si>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</si>
  <si>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</si>
  <si>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</si>
  <si>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</si>
  <si>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</si>
  <si>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</si>
  <si>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</si>
  <si>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</si>
  <si>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</si>
  <si>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</si>
  <si>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</si>
  <si>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</si>
  <si>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</si>
  <si>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</si>
  <si>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</si>
  <si>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</si>
  <si>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</si>
  <si>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</si>
  <si>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</si>
  <si>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</si>
  <si>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</si>
  <si>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</si>
  <si>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</si>
  <si>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</si>
  <si>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</si>
  <si>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</si>
  <si>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</si>
  <si>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</si>
  <si>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</si>
  <si>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</si>
  <si>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</si>
  <si>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</si>
  <si>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</si>
  <si>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</si>
  <si>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</si>
  <si>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</si>
  <si>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</si>
  <si>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</si>
  <si>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</si>
  <si>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</si>
  <si>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</si>
  <si>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</si>
  <si>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</si>
  <si>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</si>
  <si>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</si>
  <si>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</si>
  <si>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</si>
  <si>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</si>
  <si>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</si>
  <si>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</si>
  <si>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</si>
  <si>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</si>
  <si>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</si>
  <si>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</si>
  <si>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</si>
  <si>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</si>
  <si>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</si>
  <si>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</si>
  <si>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</si>
  <si>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</si>
  <si>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</si>
  <si>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</si>
  <si>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</si>
  <si>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</si>
  <si>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</si>
  <si>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</si>
  <si>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</si>
  <si>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</si>
  <si>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</si>
  <si>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</si>
  <si>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</si>
  <si>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</si>
  <si>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</si>
  <si>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</si>
  <si>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</si>
  <si>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</si>
  <si>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</si>
  <si>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</si>
  <si>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</si>
  <si>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</si>
  <si>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</si>
  <si>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</si>
  <si>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</si>
  <si>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</si>
  <si>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</si>
  <si>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</si>
  <si>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</si>
  <si>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</si>
  <si>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</si>
  <si>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</si>
  <si>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</si>
  <si>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</si>
  <si>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</si>
  <si>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</si>
  <si>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</si>
  <si>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</si>
  <si>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</si>
  <si>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</si>
  <si>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</si>
  <si>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</si>
  <si>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</si>
  <si>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</si>
  <si>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</si>
  <si>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</si>
  <si>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</si>
  <si>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</si>
  <si>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</si>
  <si>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</si>
  <si>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</si>
  <si>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</si>
  <si>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</si>
  <si>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</si>
  <si>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</si>
  <si>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</si>
  <si>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</si>
  <si>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</si>
  <si>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</si>
  <si>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</si>
  <si>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</si>
  <si>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</si>
  <si>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</si>
  <si>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</si>
  <si>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</si>
  <si>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</si>
  <si>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</si>
  <si>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</si>
  <si>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</si>
  <si>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</si>
  <si>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</si>
  <si>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</si>
  <si>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</si>
  <si>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</si>
  <si>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</si>
  <si>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</si>
  <si>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</si>
  <si>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</si>
  <si>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</si>
  <si>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</si>
  <si>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</si>
  <si>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</si>
  <si>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</si>
  <si>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</si>
  <si>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</si>
  <si>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</si>
  <si>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</si>
  <si>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</si>
  <si>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</si>
  <si>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</si>
  <si>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</si>
  <si>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</si>
  <si>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</si>
  <si>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</si>
  <si>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</si>
  <si>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</si>
  <si>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</si>
  <si>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</si>
  <si>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</si>
  <si>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</si>
  <si>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</si>
  <si>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</si>
  <si>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</si>
  <si>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</si>
  <si>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</si>
  <si>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</si>
  <si>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</si>
  <si>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</si>
  <si>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</si>
  <si>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</si>
  <si>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</si>
  <si>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</si>
  <si>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</si>
  <si>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</si>
  <si>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</si>
  <si>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</si>
  <si>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</si>
  <si>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</si>
  <si>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</si>
  <si>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</si>
  <si>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</si>
  <si>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</si>
  <si>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</si>
  <si>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</si>
  <si>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</si>
  <si>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</si>
  <si>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</si>
  <si>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</si>
  <si>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</si>
  <si>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</si>
  <si>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</si>
  <si>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</si>
  <si>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</si>
  <si>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</si>
  <si>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</si>
  <si>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</si>
  <si>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</si>
  <si>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</si>
  <si>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</si>
  <si>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</si>
  <si>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</si>
  <si>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</si>
  <si>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</si>
  <si>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</si>
  <si>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</si>
  <si>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</si>
  <si>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</si>
  <si>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</si>
  <si>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</si>
  <si>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</si>
  <si>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</si>
  <si>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</si>
  <si>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</si>
  <si>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</si>
  <si>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</si>
  <si>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</si>
  <si>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</si>
  <si>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</si>
  <si>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</si>
  <si>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</si>
  <si>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</si>
  <si>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</si>
  <si>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</si>
  <si>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</si>
  <si>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</si>
  <si>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</si>
  <si>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</si>
  <si>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</si>
  <si>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</si>
  <si>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</si>
  <si>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</si>
  <si>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</si>
  <si>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</si>
  <si>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</si>
  <si>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</si>
  <si>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</si>
  <si>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</si>
  <si>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</si>
  <si>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</si>
  <si>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</si>
  <si>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</si>
  <si>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</si>
  <si>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</si>
  <si>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</si>
  <si>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</si>
  <si>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</si>
  <si>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</si>
  <si>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</si>
  <si>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</si>
  <si>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</si>
  <si>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</si>
  <si>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</si>
  <si>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</si>
  <si>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</si>
  <si>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</si>
  <si>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</si>
  <si>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</si>
  <si>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</si>
  <si>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</si>
  <si>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</si>
  <si>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</si>
  <si>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</si>
  <si>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</si>
  <si>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</si>
  <si>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</si>
  <si>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</si>
  <si>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</si>
  <si>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</si>
  <si>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</si>
  <si>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</si>
  <si>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</si>
  <si>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</si>
  <si>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</si>
  <si>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</si>
  <si>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</si>
  <si>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</si>
  <si>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</si>
  <si>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</si>
  <si>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</si>
  <si>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</si>
  <si>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</si>
  <si>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</si>
  <si>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</si>
  <si>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</si>
  <si>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</si>
  <si>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</si>
  <si>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</si>
  <si>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</si>
  <si>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</si>
  <si>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</si>
  <si>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</si>
  <si>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</si>
  <si>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</si>
  <si>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</si>
  <si>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</si>
  <si>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</si>
  <si>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</si>
  <si>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</si>
  <si>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</si>
  <si>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</si>
  <si>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</si>
  <si>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</si>
  <si>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</si>
  <si>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</si>
  <si>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</si>
  <si>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</si>
  <si>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</si>
  <si>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</si>
  <si>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</si>
  <si>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</si>
  <si>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</si>
  <si>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</si>
  <si>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</si>
  <si>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</si>
  <si>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</si>
  <si>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</si>
  <si>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</si>
  <si>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</si>
  <si>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</si>
  <si>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</si>
  <si>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</si>
  <si>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</si>
  <si>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</si>
  <si>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</si>
  <si>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</si>
  <si>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</si>
  <si>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</si>
  <si>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</si>
  <si>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</si>
  <si>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</si>
  <si>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</si>
  <si>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</si>
  <si>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</si>
  <si>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</si>
  <si>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</si>
  <si>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</si>
  <si>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</si>
  <si>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</si>
  <si>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</si>
  <si>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</si>
  <si>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</si>
  <si>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</si>
  <si>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</si>
  <si>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</si>
  <si>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</si>
  <si>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</si>
  <si>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</si>
  <si>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</si>
  <si>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</si>
  <si>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</si>
  <si>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</si>
  <si>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</si>
  <si>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</si>
  <si>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</si>
  <si>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</si>
  <si>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</si>
  <si>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</si>
  <si>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</si>
  <si>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</si>
  <si>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</si>
  <si>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</si>
  <si>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</si>
  <si>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</si>
  <si>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</si>
  <si>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</si>
  <si>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</si>
  <si>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</si>
  <si>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</si>
  <si>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</si>
  <si>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</si>
  <si>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</si>
  <si>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</si>
  <si>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</si>
  <si>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</si>
  <si>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</si>
  <si>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</si>
  <si>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</si>
  <si>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</si>
  <si>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</si>
  <si>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</si>
  <si>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</si>
  <si>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</si>
  <si>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</si>
  <si>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</si>
  <si>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</si>
  <si>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</si>
  <si>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</si>
  <si>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</si>
  <si>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</si>
  <si>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</si>
  <si>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</si>
  <si>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</si>
  <si>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</si>
  <si>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</si>
  <si>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</si>
  <si>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</si>
  <si>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</si>
  <si>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</si>
  <si>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</si>
  <si>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</si>
  <si>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</si>
  <si>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</si>
  <si>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</si>
  <si>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</si>
  <si>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</si>
  <si>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</si>
  <si>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</si>
  <si>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</si>
  <si>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</si>
  <si>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</si>
  <si>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</si>
  <si>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</si>
  <si>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</si>
  <si>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</si>
  <si>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</si>
  <si>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</si>
  <si>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</si>
  <si>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</si>
  <si>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</si>
  <si>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</si>
  <si>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</si>
  <si>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</si>
  <si>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</si>
  <si>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</si>
  <si>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</si>
  <si>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</si>
  <si>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</si>
  <si>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</si>
  <si>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</si>
  <si>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</si>
  <si>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</si>
  <si>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</si>
  <si>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</si>
  <si>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</si>
  <si>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</si>
  <si>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</si>
  <si>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</si>
  <si>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</si>
  <si>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</si>
  <si>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</si>
  <si>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</si>
  <si>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</si>
  <si>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</si>
  <si>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</si>
  <si>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</si>
  <si>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</si>
  <si>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</si>
  <si>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</si>
  <si>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</si>
  <si>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</si>
  <si>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</si>
  <si>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</si>
  <si>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</si>
  <si>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</si>
  <si>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</si>
  <si>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</si>
  <si>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</si>
  <si>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</si>
  <si>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</si>
  <si>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</si>
  <si>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</si>
  <si>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</si>
  <si>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</si>
  <si>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</si>
  <si>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</si>
  <si>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</si>
  <si>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</si>
  <si>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</si>
  <si>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</si>
  <si>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</si>
  <si>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</si>
  <si>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</si>
  <si>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</si>
  <si>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</si>
  <si>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</si>
  <si>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</si>
  <si>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</si>
  <si>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</si>
  <si>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</si>
  <si>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</si>
  <si>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</si>
  <si>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</si>
  <si>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</si>
  <si>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</si>
  <si>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</si>
  <si>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</si>
  <si>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</si>
  <si>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</si>
  <si>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</si>
  <si>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</si>
  <si>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</si>
  <si>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</si>
  <si>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</si>
  <si>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</si>
  <si>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</si>
  <si>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</si>
  <si>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</si>
  <si>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</si>
  <si>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</si>
  <si>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</si>
  <si>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</si>
  <si>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</si>
  <si>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</si>
  <si>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</si>
  <si>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</si>
  <si>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</si>
  <si>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</si>
  <si>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</si>
  <si>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</si>
  <si>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</si>
  <si>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</si>
  <si>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</si>
  <si>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</si>
  <si>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</si>
  <si>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</si>
  <si>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</si>
  <si>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</si>
  <si>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</si>
  <si>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</si>
  <si>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</si>
  <si>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</si>
  <si>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</si>
  <si>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</si>
  <si>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</si>
  <si>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</si>
  <si>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</si>
  <si>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</si>
  <si>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</si>
  <si>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</si>
  <si>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</si>
  <si>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</si>
  <si>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</si>
  <si>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</si>
  <si>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</si>
  <si>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</si>
  <si>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</si>
  <si>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</si>
  <si>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</si>
  <si>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</si>
  <si>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</si>
  <si>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</si>
  <si>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</si>
  <si>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</si>
  <si>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</si>
  <si>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</si>
  <si>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</si>
  <si>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</si>
  <si>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</si>
  <si>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</si>
  <si>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</si>
  <si>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</si>
  <si>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</si>
  <si>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</si>
  <si>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</si>
  <si>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</si>
  <si>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</si>
  <si>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</si>
  <si>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</si>
  <si>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</si>
  <si>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</si>
  <si>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</si>
  <si>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</si>
  <si>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</si>
  <si>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</si>
  <si>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</si>
  <si>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</si>
  <si>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</si>
  <si>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</si>
  <si>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</si>
  <si>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</si>
  <si>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</si>
  <si>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</si>
  <si>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</si>
  <si>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</si>
  <si>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</si>
  <si>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</si>
  <si>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</si>
  <si>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</si>
  <si>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</si>
  <si>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</si>
  <si>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</si>
  <si>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</si>
  <si>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</si>
  <si>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</si>
  <si>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</si>
  <si>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</si>
  <si>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</si>
  <si>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</si>
  <si>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</si>
  <si>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</si>
  <si>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</si>
  <si>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</si>
  <si>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</si>
  <si>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</si>
  <si>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</si>
  <si>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</si>
  <si>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</si>
  <si>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</si>
  <si>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</si>
  <si>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</si>
  <si>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</si>
  <si>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</si>
  <si>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</si>
  <si>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</si>
  <si>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</si>
  <si>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</si>
  <si>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</si>
  <si>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</si>
  <si>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</si>
  <si>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</si>
  <si>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</si>
  <si>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</si>
  <si>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</si>
  <si>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</si>
  <si>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</si>
  <si>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</si>
  <si>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</si>
  <si>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</si>
  <si>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</si>
  <si>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</si>
  <si>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</si>
  <si>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</si>
  <si>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</si>
  <si>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</si>
  <si>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</si>
  <si>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</si>
  <si>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</si>
  <si>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</si>
  <si>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</si>
  <si>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</si>
  <si>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</si>
  <si>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</si>
  <si>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</si>
  <si>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</si>
  <si>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</si>
  <si>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</si>
  <si>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</si>
  <si>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</si>
  <si>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</si>
  <si>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</si>
  <si>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</si>
  <si>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</si>
  <si>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</si>
  <si>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</si>
  <si>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</si>
  <si>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</si>
  <si>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</si>
  <si>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</si>
  <si>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</si>
  <si>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</si>
  <si>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</si>
  <si>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</si>
  <si>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</si>
  <si>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</si>
  <si>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</si>
  <si>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</si>
  <si>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</si>
  <si>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</si>
  <si>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</si>
  <si>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</si>
  <si>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</si>
  <si>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</si>
  <si>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</si>
  <si>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</si>
  <si>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</si>
  <si>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</si>
  <si>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</si>
  <si>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</si>
  <si>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</si>
  <si>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</si>
  <si>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</si>
  <si>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</si>
  <si>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</si>
  <si>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</si>
  <si>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</si>
  <si>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</si>
  <si>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</si>
  <si>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</si>
  <si>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</si>
  <si>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</si>
  <si>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</si>
  <si>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</si>
  <si>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</si>
  <si>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</si>
  <si>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</si>
  <si>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</si>
  <si>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</si>
  <si>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</si>
  <si>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</si>
  <si>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</si>
  <si>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</si>
  <si>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</si>
  <si>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</si>
  <si>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</si>
  <si>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</si>
  <si>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</si>
  <si>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</si>
  <si>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</si>
  <si>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</si>
  <si>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</si>
  <si>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</si>
  <si>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</si>
  <si>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</si>
  <si>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</si>
  <si>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</si>
  <si>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</si>
  <si>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</si>
  <si>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</si>
  <si>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</si>
  <si>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</si>
  <si>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</si>
  <si>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</si>
  <si>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</si>
  <si>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</si>
  <si>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</si>
  <si>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</si>
  <si>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</si>
  <si>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</si>
  <si>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</si>
  <si>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</si>
  <si>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</si>
  <si>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</si>
  <si>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</si>
  <si>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</si>
  <si>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</si>
  <si>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</si>
  <si>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</si>
  <si>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</si>
  <si>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</si>
  <si>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</si>
  <si>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</si>
  <si>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</si>
  <si>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</si>
  <si>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</si>
  <si>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</si>
  <si>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</si>
  <si>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</si>
  <si>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</si>
  <si>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</si>
  <si>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</si>
  <si>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</si>
  <si>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</si>
  <si>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</si>
  <si>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</si>
  <si>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</si>
  <si>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</si>
  <si>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</si>
  <si>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</si>
  <si>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</si>
  <si>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</si>
  <si>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</si>
  <si>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</si>
  <si>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</si>
  <si>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</si>
  <si>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</si>
  <si>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</si>
  <si>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</si>
  <si>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</si>
  <si>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</si>
  <si>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</si>
  <si>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</si>
  <si>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</si>
  <si>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</si>
  <si>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</si>
  <si>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</si>
  <si>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</si>
  <si>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</si>
  <si>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</si>
  <si>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</si>
  <si>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</si>
  <si>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</si>
  <si>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</si>
  <si>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</si>
  <si>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</si>
  <si>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</si>
  <si>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</si>
  <si>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</si>
  <si>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</si>
  <si>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</si>
  <si>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</si>
  <si>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</si>
  <si>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</si>
  <si>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</si>
  <si>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</si>
  <si>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</si>
  <si>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</si>
  <si>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</si>
  <si>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</si>
  <si>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</si>
  <si>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</si>
  <si>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</si>
  <si>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</si>
  <si>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</si>
  <si>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</si>
  <si>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</si>
  <si>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</si>
  <si>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</si>
  <si>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</si>
  <si>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</si>
  <si>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</si>
  <si>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</si>
  <si>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</si>
  <si>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</si>
  <si>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</si>
  <si>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</si>
  <si>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</si>
  <si>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</si>
  <si>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</si>
  <si>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</si>
  <si>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</si>
  <si>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</si>
  <si>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</si>
  <si>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</si>
  <si>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</si>
  <si>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</si>
  <si>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</si>
  <si>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</si>
  <si>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</si>
  <si>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</si>
  <si>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</si>
  <si>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</si>
  <si>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</si>
  <si>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</si>
  <si>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</si>
  <si>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</si>
  <si>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</si>
  <si>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</si>
  <si>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</si>
  <si>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</si>
  <si>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</si>
  <si>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</si>
  <si>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</si>
  <si>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</si>
  <si>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</si>
  <si>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</si>
  <si>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</si>
  <si>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</si>
  <si>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</si>
  <si>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</si>
  <si>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</si>
  <si>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</si>
  <si>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</si>
  <si>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</si>
  <si>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</si>
  <si>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</si>
  <si>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</si>
  <si>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</si>
  <si>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</si>
  <si>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</si>
  <si>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</si>
  <si>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</si>
  <si>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</si>
  <si>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</si>
  <si>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</si>
  <si>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</si>
  <si>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</si>
  <si>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</si>
  <si>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</si>
  <si>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</si>
  <si>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</si>
  <si>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</si>
  <si>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</si>
  <si>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</si>
  <si>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</si>
  <si>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</si>
  <si>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</si>
  <si>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</si>
  <si>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</si>
  <si>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</si>
  <si>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</si>
  <si>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</si>
  <si>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</si>
  <si>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</si>
  <si>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</si>
  <si>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</si>
  <si>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</si>
  <si>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</si>
  <si>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</si>
  <si>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</si>
  <si>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</si>
  <si>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</si>
  <si>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</si>
  <si>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</si>
  <si>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</si>
  <si>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</si>
  <si>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</si>
  <si>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</si>
  <si>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</si>
  <si>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</si>
  <si>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</si>
  <si>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</si>
  <si>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</si>
  <si>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</si>
  <si>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</si>
  <si>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</si>
  <si>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</si>
  <si>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</si>
  <si>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</si>
  <si>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</si>
  <si>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</si>
  <si>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</si>
  <si>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</si>
  <si>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</si>
  <si>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</si>
  <si>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</si>
  <si>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</si>
  <si>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</si>
  <si>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</si>
  <si>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</si>
  <si>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</si>
  <si>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</si>
  <si>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</si>
  <si>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</si>
  <si>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</si>
  <si>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</si>
  <si>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</si>
  <si>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</si>
  <si>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</si>
  <si>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</si>
  <si>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</si>
  <si>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</si>
  <si>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</si>
  <si>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</si>
  <si>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</si>
  <si>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</si>
  <si>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</si>
  <si>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</si>
  <si>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</si>
  <si>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</si>
  <si>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</si>
  <si>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</si>
  <si>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</si>
  <si>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</si>
  <si>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</si>
  <si>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</si>
  <si>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</si>
  <si>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</si>
  <si>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</si>
  <si>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</si>
  <si>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</si>
  <si>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</si>
  <si>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</si>
  <si>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</si>
  <si>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</si>
  <si>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</si>
  <si>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</si>
  <si>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</si>
  <si>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</si>
  <si>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</si>
  <si>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</si>
  <si>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</si>
  <si>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</si>
  <si>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</si>
  <si>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</si>
  <si>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</si>
  <si>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</si>
  <si>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</si>
  <si>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</si>
  <si>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</si>
  <si>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</si>
  <si>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</si>
  <si>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</si>
  <si>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</si>
  <si>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</si>
  <si>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</si>
  <si>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</si>
  <si>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</si>
  <si>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</si>
  <si>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</si>
  <si>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</si>
  <si>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</si>
  <si>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</si>
  <si>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</si>
  <si>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</si>
  <si>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</si>
  <si>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</si>
  <si>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</si>
  <si>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</si>
  <si>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</si>
  <si>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</si>
  <si>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</si>
  <si>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</si>
  <si>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</si>
  <si>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</si>
  <si>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</si>
  <si>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</si>
  <si>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</si>
  <si>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</si>
  <si>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</si>
  <si>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</si>
  <si>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</si>
  <si>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</si>
  <si>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</si>
  <si>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</si>
  <si>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</si>
  <si>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</si>
  <si>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</si>
  <si>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</si>
  <si>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</si>
  <si>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</si>
  <si>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</si>
  <si>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</si>
  <si>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</si>
  <si>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</si>
  <si>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</si>
  <si>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</si>
  <si>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</si>
  <si>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</si>
  <si>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</si>
  <si>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</si>
  <si>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</si>
  <si>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</si>
  <si>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</si>
  <si>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</si>
  <si>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</si>
  <si>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</si>
  <si>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</si>
  <si>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</si>
  <si>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</si>
  <si>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</si>
  <si>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</si>
  <si>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</si>
  <si>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</si>
  <si>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</si>
  <si>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</si>
  <si>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</si>
  <si>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</si>
  <si>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</si>
  <si>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</si>
  <si>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</si>
  <si>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</si>
  <si>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</si>
  <si>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</si>
  <si>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</si>
  <si>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</si>
  <si>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</si>
  <si>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</si>
  <si>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</si>
  <si>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</si>
  <si>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</si>
  <si>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</si>
  <si>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</si>
  <si>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</si>
  <si>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</si>
  <si>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</si>
  <si>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</si>
  <si>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</si>
  <si>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</si>
  <si>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</si>
  <si>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</si>
  <si>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</si>
  <si>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</si>
  <si>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</si>
  <si>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</si>
  <si>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</si>
  <si>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</si>
  <si>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</si>
  <si>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</si>
  <si>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</si>
  <si>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</si>
  <si>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</si>
  <si>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</si>
  <si>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</si>
  <si>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</si>
  <si>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</si>
  <si>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</si>
  <si>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</si>
  <si>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</si>
  <si>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</si>
  <si>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</si>
  <si>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</si>
  <si>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</si>
  <si>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</si>
  <si>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</si>
  <si>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</si>
  <si>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</si>
  <si>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</si>
  <si>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</si>
  <si>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</si>
  <si>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</si>
  <si>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</si>
  <si>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</si>
  <si>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</si>
  <si>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</si>
  <si>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</si>
  <si>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</si>
  <si>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</si>
  <si>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</si>
  <si>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</si>
  <si>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</si>
  <si>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</si>
  <si>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</si>
  <si>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</si>
  <si>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</si>
  <si>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</si>
  <si>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</si>
  <si>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</si>
  <si>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</si>
  <si>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</si>
  <si>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</si>
  <si>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</si>
  <si>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</si>
  <si>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</si>
  <si>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</si>
  <si>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</si>
  <si>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</si>
  <si>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</si>
  <si>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</si>
  <si>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</si>
  <si>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</si>
  <si>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</si>
  <si>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</si>
  <si>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</si>
  <si>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</si>
  <si>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</si>
  <si>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</si>
  <si>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</si>
  <si>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</si>
  <si>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</si>
  <si>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</si>
  <si>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</si>
  <si>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</si>
  <si>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</si>
  <si>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</si>
  <si>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</si>
  <si>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</si>
  <si>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</si>
  <si>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</si>
  <si>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</si>
  <si>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</si>
  <si>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</si>
  <si>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</si>
  <si>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</si>
  <si>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</si>
  <si>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</si>
  <si>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</si>
  <si>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</si>
  <si>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</si>
  <si>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</si>
  <si>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</si>
  <si>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</si>
  <si>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</si>
  <si>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</si>
  <si>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</si>
  <si>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</si>
  <si>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</si>
  <si>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</si>
  <si>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</si>
  <si>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</si>
  <si>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</si>
  <si>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</si>
  <si>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</si>
  <si>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</si>
  <si>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</si>
  <si>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</si>
  <si>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</si>
  <si>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</si>
  <si>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</si>
  <si>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</si>
  <si>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</si>
  <si>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</si>
  <si>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</si>
  <si>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</si>
  <si>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</si>
  <si>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</si>
  <si>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</si>
  <si>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</si>
  <si>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</si>
  <si>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</si>
  <si>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</si>
  <si>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</si>
  <si>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</si>
  <si>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</si>
  <si>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</si>
  <si>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</si>
  <si>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</si>
  <si>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</si>
  <si>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</si>
  <si>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</si>
  <si>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</si>
  <si>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</si>
  <si>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</si>
  <si>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</si>
  <si>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</si>
  <si>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</si>
  <si>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</si>
  <si>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</si>
  <si>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</si>
  <si>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</si>
  <si>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</si>
  <si>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</si>
  <si>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</si>
  <si>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</si>
  <si>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</si>
  <si>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</si>
  <si>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</si>
  <si>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</si>
  <si>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</si>
  <si>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</si>
  <si>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</si>
  <si>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</si>
  <si>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</si>
  <si>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</si>
  <si>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</si>
  <si>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</si>
  <si>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</si>
  <si>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</si>
  <si>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</si>
  <si>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</si>
  <si>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</si>
  <si>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</si>
  <si>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</si>
  <si>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</si>
  <si>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</si>
  <si>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</si>
  <si>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</si>
  <si>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</si>
  <si>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</si>
  <si>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</si>
  <si>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</si>
  <si>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</si>
  <si>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</si>
  <si>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</si>
  <si>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</si>
  <si>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</si>
  <si>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</si>
  <si>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</si>
  <si>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</si>
  <si>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</si>
  <si>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</si>
  <si>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</si>
  <si>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</si>
  <si>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</si>
  <si>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</si>
  <si>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</si>
  <si>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</si>
  <si>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</si>
  <si>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</si>
  <si>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</si>
  <si>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</si>
  <si>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</si>
  <si>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</si>
  <si>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</si>
  <si>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</si>
  <si>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</si>
  <si>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</si>
  <si>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</si>
  <si>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</si>
  <si>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</si>
  <si>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</si>
  <si>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</si>
  <si>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</si>
  <si>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</si>
  <si>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</si>
  <si>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</si>
  <si>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</si>
  <si>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</si>
  <si>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</si>
  <si>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</si>
  <si>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</si>
  <si>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</si>
  <si>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</si>
  <si>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</si>
  <si>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</si>
  <si>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</si>
  <si>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</si>
  <si>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</si>
  <si>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</si>
  <si>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</si>
  <si>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</si>
  <si>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</si>
  <si>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</si>
  <si>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</si>
  <si>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</si>
  <si>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</si>
  <si>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</si>
  <si>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</si>
  <si>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</si>
  <si>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</si>
  <si>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</si>
  <si>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</si>
  <si>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</si>
  <si>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</si>
  <si>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</si>
  <si>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</si>
  <si>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</si>
  <si>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</si>
  <si>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</si>
  <si>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</si>
  <si>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</si>
  <si>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</si>
  <si>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</si>
  <si>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</si>
  <si>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</si>
  <si>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</si>
  <si>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</si>
  <si>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</si>
  <si>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</si>
  <si>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</si>
  <si>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</si>
  <si>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</si>
  <si>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</si>
  <si>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</si>
  <si>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</si>
  <si>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</si>
  <si>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</si>
  <si>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</si>
  <si>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</si>
  <si>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</si>
  <si>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</si>
  <si>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</si>
  <si>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</si>
  <si>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</si>
  <si>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</si>
  <si>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</si>
  <si>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</si>
  <si>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</si>
  <si>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</si>
  <si>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</si>
  <si>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</si>
  <si>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</si>
  <si>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</si>
  <si>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</si>
  <si>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</si>
  <si>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</si>
  <si>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</si>
  <si>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</si>
  <si>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</si>
  <si>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</si>
  <si>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</si>
  <si>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</si>
  <si>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</si>
  <si>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</si>
  <si>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</si>
  <si>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</si>
  <si>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</si>
  <si>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</si>
  <si>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</si>
  <si>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</si>
  <si>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</si>
  <si>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</si>
  <si>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</si>
  <si>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</si>
  <si>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</si>
  <si>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</si>
  <si>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</si>
  <si>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</si>
  <si>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</si>
  <si>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</si>
  <si>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</si>
  <si>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</si>
  <si>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</si>
  <si>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</si>
  <si>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</si>
  <si>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</si>
  <si>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</si>
  <si>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</si>
  <si>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</si>
  <si>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</si>
  <si>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</si>
  <si>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</si>
  <si>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</si>
  <si>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</si>
  <si>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</si>
  <si>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</si>
  <si>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</si>
  <si>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</si>
  <si>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</si>
  <si>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</si>
  <si>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</si>
  <si>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</si>
  <si>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</si>
  <si>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</si>
  <si>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</si>
  <si>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</si>
  <si>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</si>
  <si>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</si>
  <si>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</si>
  <si>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</si>
  <si>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</si>
  <si>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</si>
  <si>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</si>
  <si>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</si>
  <si>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</si>
  <si>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</si>
  <si>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</si>
  <si>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</si>
  <si>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</si>
  <si>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</si>
  <si>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</si>
  <si>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</si>
  <si>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</si>
  <si>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</si>
  <si>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</si>
  <si>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</si>
  <si>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</si>
  <si>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</si>
  <si>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</si>
  <si>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</si>
  <si>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</si>
  <si>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</si>
  <si>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</si>
  <si>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</si>
  <si>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</si>
  <si>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</si>
  <si>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</si>
  <si>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</si>
  <si>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</si>
  <si>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</si>
  <si>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</si>
  <si>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</si>
  <si>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</si>
  <si>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</si>
  <si>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</si>
  <si>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</si>
  <si>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</si>
  <si>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</si>
  <si>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</si>
  <si>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</si>
  <si>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</si>
  <si>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</si>
  <si>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</si>
  <si>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</si>
  <si>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</si>
  <si>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</si>
  <si>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</si>
  <si>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</si>
  <si>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</si>
  <si>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</si>
  <si>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</si>
  <si>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</si>
  <si>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</si>
  <si>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</si>
  <si>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</si>
  <si>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</si>
  <si>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</si>
  <si>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</si>
  <si>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</si>
  <si>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</si>
  <si>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</si>
  <si>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</si>
  <si>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</si>
  <si>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</si>
  <si>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</si>
  <si>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</si>
  <si>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</si>
  <si>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</si>
  <si>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</si>
  <si>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</si>
  <si>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</si>
  <si>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</si>
  <si>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</si>
  <si>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</si>
  <si>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</si>
  <si>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</si>
  <si>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</si>
  <si>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</si>
  <si>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</si>
  <si>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</si>
  <si>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</si>
  <si>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</si>
  <si>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</si>
  <si>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</si>
  <si>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</si>
  <si>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</si>
  <si>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</si>
  <si>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</si>
  <si>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</si>
  <si>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</si>
  <si>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</si>
  <si>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</si>
  <si>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</si>
  <si>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</si>
  <si>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</si>
  <si>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</si>
  <si>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</si>
  <si>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</si>
  <si>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</si>
  <si>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</si>
  <si>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</si>
  <si>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</si>
  <si>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</si>
  <si>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</si>
  <si>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</si>
  <si>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</si>
  <si>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</si>
  <si>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</si>
  <si>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</si>
  <si>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</si>
  <si>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</si>
  <si>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</si>
  <si>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</si>
  <si>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</si>
  <si>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</si>
  <si>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</si>
  <si>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</si>
  <si>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</si>
  <si>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</si>
  <si>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</si>
  <si>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</si>
  <si>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</si>
  <si>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</si>
  <si>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</si>
  <si>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</si>
  <si>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</si>
  <si>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</si>
  <si>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</si>
  <si>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</si>
  <si>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</si>
  <si>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</si>
  <si>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</si>
  <si>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</si>
  <si>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</si>
  <si>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</si>
  <si>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</si>
  <si>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</si>
  <si>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</si>
  <si>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</si>
  <si>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</si>
  <si>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</si>
  <si>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</si>
  <si>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</si>
  <si>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</si>
  <si>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</si>
  <si>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</si>
  <si>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</si>
  <si>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</si>
  <si>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</si>
  <si>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</si>
  <si>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</si>
  <si>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</si>
  <si>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</si>
  <si>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</si>
  <si>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</si>
  <si>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</si>
  <si>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</si>
  <si>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</si>
  <si>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</si>
  <si>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</si>
  <si>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</si>
  <si>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</si>
  <si>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</si>
  <si>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</si>
  <si>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</si>
  <si>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</si>
  <si>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</si>
  <si>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</si>
  <si>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</si>
  <si>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</si>
  <si>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</si>
  <si>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</si>
  <si>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</si>
  <si>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</si>
  <si>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</si>
  <si>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</si>
  <si>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</si>
  <si>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</si>
  <si>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</si>
  <si>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</si>
  <si>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</si>
  <si>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</si>
  <si>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</si>
  <si>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</si>
  <si>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</si>
  <si>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</si>
  <si>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</si>
  <si>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</si>
  <si>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</si>
  <si>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</si>
  <si>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</si>
  <si>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</si>
  <si>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</si>
  <si>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</si>
  <si>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</si>
  <si>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</si>
  <si>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</si>
  <si>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</si>
  <si>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</si>
  <si>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</si>
  <si>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</si>
  <si>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</si>
  <si>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</si>
  <si>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</si>
  <si>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</si>
  <si>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</si>
  <si>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</si>
  <si>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</si>
  <si>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</si>
  <si>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</si>
  <si>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</si>
  <si>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</si>
  <si>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</si>
  <si>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</si>
  <si>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</si>
  <si>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</si>
  <si>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</si>
  <si>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</si>
  <si>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</si>
  <si>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</si>
  <si>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</si>
  <si>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</si>
  <si>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</si>
  <si>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</si>
  <si>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</si>
  <si>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</si>
  <si>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</si>
  <si>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</si>
  <si>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</si>
  <si>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</si>
  <si>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</si>
  <si>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</si>
  <si>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</si>
  <si>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</si>
  <si>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</si>
  <si>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</si>
  <si>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</si>
  <si>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</si>
  <si>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</si>
  <si>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</si>
  <si>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</si>
  <si>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</si>
  <si>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</si>
  <si>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</si>
  <si>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</si>
  <si>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</si>
  <si>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</si>
  <si>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</si>
  <si>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</si>
  <si>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</si>
  <si>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</si>
  <si>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</si>
  <si>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</si>
  <si>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</si>
  <si>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</si>
  <si>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</si>
  <si>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</si>
  <si>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</si>
  <si>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</si>
  <si>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</si>
  <si>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</si>
  <si>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</si>
  <si>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</si>
  <si>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</si>
  <si>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</si>
  <si>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</si>
  <si>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</si>
  <si>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</si>
  <si>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</si>
  <si>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</si>
  <si>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</si>
  <si>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</si>
  <si>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</si>
  <si>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</si>
  <si>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</si>
  <si>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</si>
  <si>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</si>
  <si>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</si>
  <si>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</si>
  <si>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</si>
  <si>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</si>
  <si>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</si>
  <si>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</si>
  <si>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</si>
  <si>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</si>
  <si>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</si>
  <si>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</si>
  <si>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</si>
  <si>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</si>
  <si>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</si>
  <si>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</si>
  <si>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</si>
  <si>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</si>
  <si>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</si>
  <si>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</si>
  <si>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</si>
  <si>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</si>
  <si>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</si>
  <si>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</si>
  <si>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</si>
  <si>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</si>
  <si>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</si>
  <si>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</si>
  <si>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</si>
  <si>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</si>
  <si>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</si>
  <si>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</si>
  <si>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</si>
  <si>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</si>
  <si>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</si>
  <si>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</si>
  <si>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</si>
  <si>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</si>
  <si>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</si>
  <si>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</si>
  <si>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</si>
  <si>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</si>
  <si>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</si>
  <si>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</si>
  <si>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</si>
  <si>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</si>
  <si>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</si>
  <si>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</si>
  <si>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</si>
  <si>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</si>
  <si>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</si>
  <si>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</si>
  <si>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</si>
  <si>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</si>
  <si>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</si>
  <si>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</si>
  <si>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</si>
  <si>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</si>
  <si>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</si>
  <si>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</si>
  <si>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</si>
  <si>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</si>
  <si>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</si>
  <si>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</si>
  <si>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</si>
  <si>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</si>
  <si>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</si>
  <si>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</si>
  <si>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</si>
  <si>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</si>
  <si>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</si>
  <si>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</si>
  <si>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</si>
  <si>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</si>
  <si>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</si>
  <si>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</si>
  <si>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</si>
  <si>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</si>
  <si>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</si>
  <si>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</si>
  <si>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</si>
  <si>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</si>
  <si>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</si>
  <si>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</si>
  <si>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</si>
  <si>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</si>
  <si>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</si>
  <si>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</si>
  <si>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</si>
  <si>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</si>
  <si>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</si>
  <si>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</si>
  <si>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</si>
  <si>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</si>
  <si>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</si>
  <si>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</si>
  <si>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</si>
  <si>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</si>
  <si>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</si>
  <si>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</si>
  <si>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</si>
  <si>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</si>
  <si>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</si>
  <si>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</si>
  <si>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</si>
  <si>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</si>
  <si>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</si>
  <si>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</si>
  <si>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</si>
  <si>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</si>
  <si>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</si>
  <si>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</si>
  <si>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</si>
  <si>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</si>
  <si>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</si>
  <si>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</si>
  <si>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</si>
  <si>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</si>
  <si>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</si>
  <si>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</si>
  <si>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</si>
  <si>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</si>
  <si>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</si>
  <si>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</si>
  <si>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</si>
  <si>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</si>
  <si>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</si>
  <si>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</si>
  <si>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</si>
  <si>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</si>
  <si>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</si>
  <si>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</si>
  <si>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</si>
  <si>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</si>
  <si>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</si>
  <si>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</si>
  <si>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</si>
  <si>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</si>
  <si>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</si>
  <si>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</si>
  <si>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</si>
  <si>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</si>
  <si>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</si>
  <si>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</si>
  <si>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</si>
  <si>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</si>
  <si>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</si>
  <si>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</si>
  <si>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</si>
  <si>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</si>
  <si>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</si>
  <si>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</si>
  <si>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</si>
  <si>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</si>
  <si>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</si>
  <si>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</si>
  <si>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</si>
  <si>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</si>
  <si>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</si>
  <si>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</si>
  <si>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</si>
  <si>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</si>
  <si>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</si>
  <si>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</si>
  <si>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</si>
  <si>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</si>
  <si>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</si>
  <si>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</si>
  <si>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</si>
  <si>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</si>
  <si>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</si>
  <si>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</si>
  <si>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</si>
  <si>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</si>
  <si>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</si>
  <si>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</si>
  <si>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</si>
  <si>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</si>
  <si>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</si>
  <si>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</si>
  <si>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</si>
  <si>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</si>
  <si>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</si>
  <si>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</si>
  <si>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</si>
  <si>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</si>
  <si>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</si>
  <si>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</si>
  <si>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</si>
  <si>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</si>
  <si>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</si>
  <si>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</si>
  <si>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</si>
  <si>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</si>
  <si>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</si>
  <si>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</si>
  <si>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</si>
  <si>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</si>
  <si>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</si>
  <si>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</si>
  <si>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</si>
  <si>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</si>
  <si>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</si>
  <si>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</si>
  <si>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</si>
  <si>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</si>
  <si>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</si>
  <si>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</si>
  <si>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</si>
  <si>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</si>
  <si>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</si>
  <si>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</si>
  <si>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</si>
  <si>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</si>
  <si>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</si>
  <si>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</si>
  <si>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</si>
  <si>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</si>
  <si>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</si>
  <si>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</si>
  <si>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</si>
  <si>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</si>
  <si>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</si>
  <si>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</si>
  <si>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</si>
  <si>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</si>
  <si>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</si>
  <si>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</si>
  <si>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</si>
  <si>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</si>
  <si>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</si>
  <si>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</si>
  <si>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</si>
  <si>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</si>
  <si>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</si>
  <si>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</si>
  <si>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</si>
  <si>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</si>
  <si>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</si>
  <si>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</si>
  <si>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</si>
  <si>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</si>
  <si>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</si>
  <si>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</si>
  <si>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</si>
  <si>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</si>
  <si>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</si>
  <si>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</si>
  <si>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</si>
  <si>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</si>
  <si>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</si>
  <si>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</si>
  <si>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</si>
  <si>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</si>
  <si>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</si>
  <si>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</si>
  <si>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</si>
  <si>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</si>
  <si>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</si>
  <si>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</si>
  <si>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</si>
  <si>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</si>
  <si>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</si>
  <si>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</si>
  <si>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</si>
  <si>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</si>
  <si>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</si>
  <si>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</si>
  <si>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</si>
  <si>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</si>
  <si>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</si>
  <si>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</si>
  <si>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</si>
  <si>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</si>
  <si>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</si>
  <si>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</si>
  <si>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</si>
  <si>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</si>
  <si>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</si>
  <si>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</si>
  <si>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</si>
  <si>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</si>
  <si>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</si>
  <si>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</si>
  <si>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</si>
  <si>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</si>
  <si>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</si>
  <si>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</si>
  <si>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</si>
  <si>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</si>
  <si>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</si>
  <si>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</si>
  <si>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</si>
  <si>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</si>
  <si>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</si>
  <si>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</si>
  <si>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</si>
  <si>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</si>
  <si>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</si>
  <si>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</si>
  <si>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</si>
  <si>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</si>
  <si>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</si>
  <si>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</si>
  <si>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</si>
  <si>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</si>
  <si>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</si>
  <si>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</si>
  <si>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</si>
  <si>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</si>
  <si>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</si>
  <si>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</si>
  <si>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</si>
  <si>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</si>
  <si>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</si>
  <si>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</si>
  <si>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</si>
  <si>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</si>
  <si>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</si>
  <si>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</si>
  <si>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</si>
  <si>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</si>
  <si>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</si>
  <si>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</si>
  <si>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</si>
  <si>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</si>
  <si>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</si>
  <si>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</si>
  <si>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</si>
  <si>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</si>
  <si>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</si>
  <si>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</si>
  <si>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</si>
  <si>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</si>
  <si>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</si>
  <si>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</si>
  <si>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</si>
  <si>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</si>
  <si>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</si>
  <si>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</si>
  <si>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</si>
  <si>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</si>
  <si>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</si>
  <si>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</si>
  <si>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</si>
  <si>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</si>
  <si>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</si>
  <si>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</si>
  <si>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</si>
  <si>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</si>
  <si>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</si>
  <si>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</si>
  <si>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</si>
  <si>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</si>
  <si>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</si>
  <si>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</si>
  <si>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</si>
  <si>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</si>
  <si>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</si>
  <si>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</si>
  <si>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</si>
  <si>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</si>
  <si>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</si>
  <si>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</si>
  <si>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</si>
  <si>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</si>
  <si>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</si>
  <si>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</si>
  <si>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</si>
  <si>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</si>
  <si>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</si>
  <si>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</si>
  <si>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</si>
  <si>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</si>
  <si>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</si>
  <si>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</si>
  <si>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</si>
  <si>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</si>
  <si>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</si>
  <si>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</si>
  <si>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</si>
  <si>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</si>
  <si>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</si>
  <si>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</si>
  <si>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</si>
  <si>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</si>
  <si>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</si>
  <si>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</si>
  <si>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</si>
  <si>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</si>
  <si>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</si>
  <si>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</si>
  <si>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</si>
  <si>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</si>
  <si>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</si>
  <si>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</si>
  <si>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</si>
  <si>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</si>
  <si>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</si>
  <si>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</si>
  <si>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</si>
  <si>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</si>
  <si>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</si>
  <si>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</si>
  <si>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</si>
  <si>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</si>
  <si>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</si>
  <si>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</si>
  <si>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</si>
  <si>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</si>
  <si>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</si>
  <si>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</si>
  <si>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</si>
  <si>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</si>
  <si>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</si>
  <si>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</si>
  <si>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</si>
  <si>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</si>
  <si>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</si>
  <si>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</si>
  <si>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</si>
  <si>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</si>
  <si>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</si>
  <si>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</si>
  <si>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</si>
  <si>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</si>
  <si>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</si>
  <si>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</si>
  <si>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</si>
  <si>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</si>
  <si>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</si>
  <si>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</si>
  <si>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</si>
  <si>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</si>
  <si>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</si>
  <si>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</si>
  <si>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</si>
  <si>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</si>
  <si>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</si>
  <si>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</si>
  <si>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</si>
  <si>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</si>
  <si>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</si>
  <si>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</si>
  <si>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</si>
  <si>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</si>
  <si>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</si>
  <si>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</si>
  <si>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</si>
  <si>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</si>
  <si>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</si>
  <si>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</si>
  <si>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</si>
  <si>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</si>
  <si>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</si>
  <si>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</si>
  <si>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</si>
  <si>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</si>
  <si>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</si>
  <si>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</si>
  <si>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</si>
  <si>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</si>
  <si>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</si>
  <si>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</si>
  <si>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</si>
  <si>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</si>
  <si>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</si>
  <si>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</si>
  <si>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</si>
  <si>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</si>
  <si>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</si>
  <si>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</si>
  <si>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</si>
  <si>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</si>
  <si>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</si>
  <si>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</si>
  <si>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</si>
  <si>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</si>
  <si>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</si>
  <si>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</si>
  <si>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</si>
  <si>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</si>
  <si>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</si>
  <si>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</si>
  <si>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</si>
  <si>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</si>
  <si>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</si>
  <si>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</si>
  <si>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</si>
  <si>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</si>
  <si>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</si>
  <si>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</si>
  <si>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</si>
  <si>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</si>
  <si>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</si>
  <si>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</si>
  <si>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</si>
  <si>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</si>
  <si>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</si>
  <si>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</si>
  <si>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</si>
  <si>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</si>
  <si>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</si>
  <si>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</si>
  <si>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</si>
  <si>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</si>
  <si>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</si>
  <si>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</si>
  <si>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</si>
  <si>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</si>
  <si>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</si>
  <si>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</si>
  <si>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</si>
  <si>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</si>
  <si>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</si>
  <si>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</si>
  <si>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</si>
  <si>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</si>
  <si>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</si>
  <si>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</si>
  <si>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</si>
  <si>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</si>
  <si>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</si>
  <si>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</si>
  <si>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</si>
  <si>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</si>
  <si>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</si>
  <si>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</si>
  <si>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</si>
  <si>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</si>
  <si>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</si>
  <si>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</si>
  <si>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</si>
  <si>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</si>
  <si>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</si>
  <si>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</si>
  <si>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</si>
  <si>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</si>
  <si>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</si>
  <si>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</si>
  <si>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</si>
  <si>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</si>
  <si>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</si>
  <si>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</si>
  <si>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</si>
  <si>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</si>
  <si>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</si>
  <si>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</si>
  <si>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</si>
  <si>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</si>
  <si>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</si>
  <si>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</si>
  <si>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</si>
  <si>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</si>
  <si>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</si>
  <si>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</si>
  <si>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</si>
  <si>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</si>
  <si>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</si>
  <si>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</si>
  <si>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</si>
  <si>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</si>
  <si>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</si>
  <si>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</si>
  <si>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</si>
  <si>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</si>
  <si>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</si>
  <si>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</si>
  <si>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</si>
  <si>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</si>
  <si>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</si>
  <si>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</si>
  <si>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</si>
  <si>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</si>
  <si>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</si>
  <si>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</si>
  <si>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</si>
  <si>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</si>
  <si>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</si>
  <si>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</si>
  <si>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</si>
  <si>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</si>
  <si>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</si>
  <si>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</si>
  <si>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</si>
  <si>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</si>
  <si>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</si>
  <si>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</si>
  <si>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</si>
  <si>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</si>
  <si>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</si>
  <si>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</si>
  <si>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</si>
  <si>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</si>
  <si>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</si>
  <si>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</si>
  <si>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</si>
  <si>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</si>
  <si>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</si>
  <si>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</si>
  <si>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</si>
  <si>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</si>
  <si>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</si>
  <si>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</si>
  <si>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</si>
  <si>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</si>
  <si>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</si>
  <si>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</si>
  <si>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</si>
  <si>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</si>
  <si>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</si>
  <si>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</si>
  <si>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</si>
  <si>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</si>
  <si>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</si>
  <si>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</si>
  <si>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</si>
  <si>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</si>
  <si>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</si>
  <si>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</si>
  <si>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</si>
  <si>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</si>
  <si>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</si>
  <si>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</si>
  <si>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</si>
  <si>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</si>
  <si>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</si>
  <si>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</si>
  <si>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</si>
  <si>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</si>
  <si>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</si>
  <si>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</si>
  <si>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</si>
  <si>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</si>
  <si>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</si>
  <si>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</si>
  <si>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</si>
  <si>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</si>
  <si>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</si>
  <si>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</si>
  <si>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</si>
  <si>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</si>
  <si>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</si>
  <si>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</si>
  <si>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</si>
  <si>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</si>
  <si>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</si>
  <si>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</si>
  <si>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</si>
  <si>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</si>
  <si>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</si>
  <si>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</si>
  <si>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</si>
  <si>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</si>
  <si>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</si>
  <si>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</si>
  <si>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</si>
  <si>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</si>
  <si>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</si>
  <si>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</si>
  <si>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</si>
  <si>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</si>
  <si>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</si>
  <si>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</si>
  <si>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</si>
  <si>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</si>
  <si>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</si>
  <si>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</si>
  <si>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</si>
  <si>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</si>
  <si>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</si>
  <si>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</si>
  <si>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</si>
  <si>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</si>
  <si>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</si>
  <si>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</si>
  <si>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</si>
  <si>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</si>
  <si>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</si>
  <si>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</si>
  <si>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</si>
  <si>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</si>
  <si>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</si>
  <si>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</si>
  <si>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</si>
  <si>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</si>
  <si>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</si>
  <si>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</si>
  <si>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</si>
  <si>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</si>
  <si>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</si>
  <si>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</si>
  <si>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</si>
  <si>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</si>
  <si>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</si>
  <si>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</si>
  <si>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</si>
  <si>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</si>
  <si>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</si>
  <si>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</si>
  <si>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</si>
  <si>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</si>
  <si>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</si>
  <si>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</si>
  <si>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</si>
  <si>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</si>
  <si>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</si>
  <si>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</si>
  <si>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</si>
  <si>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</si>
  <si>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</si>
  <si>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</si>
  <si>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</si>
  <si>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</si>
  <si>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</si>
  <si>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</si>
  <si>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</si>
  <si>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</si>
  <si>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</si>
  <si>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</si>
  <si>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</si>
  <si>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</si>
  <si>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</si>
  <si>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</si>
  <si>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</si>
  <si>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</si>
  <si>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</si>
  <si>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</si>
  <si>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</si>
  <si>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</si>
  <si>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</si>
  <si>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</si>
  <si>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</si>
  <si>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</si>
  <si>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</si>
  <si>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</si>
  <si>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</si>
  <si>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</si>
  <si>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</si>
  <si>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</si>
  <si>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</si>
  <si>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</si>
  <si>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</si>
  <si>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</si>
  <si>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</si>
  <si>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</si>
  <si>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</si>
  <si>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</si>
  <si>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</si>
  <si>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</si>
  <si>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</si>
  <si>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</si>
  <si>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</si>
  <si>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</si>
  <si>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</si>
  <si>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</si>
  <si>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</si>
  <si>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</si>
  <si>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</si>
  <si>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</si>
  <si>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</si>
  <si>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</si>
  <si>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</si>
  <si>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</si>
  <si>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</si>
  <si>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</si>
  <si>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</si>
  <si>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</si>
  <si>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</si>
  <si>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</si>
  <si>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</si>
  <si>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</si>
  <si>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</si>
  <si>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</si>
  <si>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</si>
  <si>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</si>
  <si>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</si>
  <si>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</si>
  <si>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</si>
  <si>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</si>
  <si>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</si>
  <si>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</si>
  <si>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</si>
  <si>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</si>
  <si>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</si>
  <si>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</si>
  <si>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</si>
  <si>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</si>
  <si>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</si>
  <si>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</si>
  <si>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</si>
  <si>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</si>
  <si>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</si>
  <si>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</si>
  <si>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</si>
  <si>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</si>
  <si>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</si>
  <si>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</si>
  <si>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</si>
  <si>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</si>
  <si>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</si>
  <si>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</si>
  <si>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</si>
  <si>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</si>
  <si>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</si>
  <si>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</si>
  <si>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</si>
  <si>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</si>
  <si>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</si>
  <si>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</si>
  <si>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</si>
  <si>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</si>
  <si>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</si>
  <si>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</si>
  <si>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</si>
  <si>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</si>
  <si>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</si>
  <si>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</si>
  <si>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</si>
  <si>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</si>
  <si>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</si>
  <si>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</si>
  <si>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</si>
  <si>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</si>
  <si>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</si>
  <si>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</si>
  <si>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</si>
  <si>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</si>
  <si>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</si>
  <si>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</si>
  <si>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</si>
  <si>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</si>
  <si>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</si>
  <si>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</si>
  <si>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</si>
  <si>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</si>
  <si>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</si>
  <si>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</si>
  <si>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</si>
  <si>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</si>
  <si>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</si>
  <si>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</si>
  <si>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</si>
  <si>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</si>
  <si>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</si>
  <si>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</si>
  <si>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</si>
  <si>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</si>
  <si>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</si>
  <si>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</si>
  <si>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</si>
  <si>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</si>
  <si>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</si>
  <si>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</si>
  <si>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</si>
  <si>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</si>
  <si>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</si>
  <si>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</si>
  <si>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</si>
  <si>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</si>
  <si>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</si>
  <si>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</si>
  <si>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</si>
  <si>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</si>
  <si>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</si>
  <si>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</si>
  <si>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</si>
  <si>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</si>
  <si>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</si>
  <si>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</si>
  <si>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</si>
  <si>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</si>
  <si>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</si>
  <si>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</si>
  <si>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</si>
  <si>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</si>
  <si>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</si>
  <si>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</si>
  <si>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</si>
  <si>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</si>
  <si>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</si>
  <si>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</si>
  <si>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</si>
  <si>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</si>
  <si>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</si>
  <si>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</si>
  <si>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</si>
  <si>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</si>
  <si>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</si>
  <si>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</si>
  <si>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</si>
  <si>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</si>
  <si>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</si>
  <si>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</si>
  <si>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</si>
  <si>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</si>
  <si>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</si>
  <si>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</si>
  <si>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</si>
  <si>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</si>
  <si>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</si>
  <si>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</si>
  <si>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</si>
  <si>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</si>
  <si>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</si>
  <si>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</si>
  <si>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</si>
  <si>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</si>
  <si>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</si>
  <si>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</si>
  <si>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</si>
  <si>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</si>
  <si>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</si>
  <si>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</si>
  <si>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</si>
  <si>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</si>
  <si>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</si>
  <si>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</si>
  <si>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</si>
  <si>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</si>
  <si>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</si>
  <si>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</si>
  <si>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</si>
  <si>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</si>
  <si>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</si>
  <si>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</si>
  <si>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</si>
  <si>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</si>
  <si>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</si>
  <si>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</si>
  <si>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</si>
  <si>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</si>
  <si>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</si>
  <si>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</si>
  <si>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</si>
  <si>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</si>
  <si>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</si>
  <si>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</si>
  <si>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</si>
  <si>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</si>
  <si>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</si>
  <si>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</si>
  <si>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</si>
  <si>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</si>
  <si>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</si>
  <si>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</si>
  <si>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</si>
  <si>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</si>
  <si>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</si>
  <si>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</si>
  <si>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</si>
  <si>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</si>
  <si>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</si>
  <si>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</si>
  <si>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</si>
  <si>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</si>
  <si>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</si>
  <si>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</si>
  <si>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</si>
  <si>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</si>
  <si>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</si>
  <si>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</si>
  <si>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</si>
  <si>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</si>
  <si>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</si>
  <si>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</si>
  <si>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</si>
  <si>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</si>
  <si>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</si>
  <si>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</si>
  <si>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</si>
  <si>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</si>
  <si>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</si>
  <si>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</si>
  <si>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</si>
  <si>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</si>
  <si>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</si>
  <si>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</si>
  <si>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</si>
  <si>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</si>
  <si>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</si>
  <si>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</si>
  <si>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</si>
  <si>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</si>
  <si>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</si>
  <si>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</si>
  <si>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</si>
  <si>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</si>
  <si>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</si>
  <si>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</si>
  <si>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</si>
  <si>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</si>
  <si>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</si>
  <si>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</si>
  <si>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</si>
  <si>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</si>
  <si>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</si>
  <si>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</si>
  <si>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</si>
  <si>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</si>
  <si>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</si>
  <si>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</si>
  <si>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</si>
  <si>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</si>
  <si>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</si>
  <si>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</si>
  <si>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</si>
  <si>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</si>
  <si>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</si>
  <si>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</si>
  <si>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</si>
  <si>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</si>
  <si>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</si>
  <si>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</si>
  <si>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</si>
  <si>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</si>
  <si>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</si>
  <si>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</si>
  <si>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</si>
  <si>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</si>
  <si>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</si>
  <si>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</si>
  <si>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</si>
  <si>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</si>
  <si>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</si>
  <si>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</si>
  <si>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</si>
  <si>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</si>
  <si>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</si>
  <si>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</si>
  <si>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</si>
  <si>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</si>
  <si>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</si>
  <si>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</si>
  <si>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</si>
  <si>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</si>
  <si>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</si>
  <si>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</si>
  <si>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</si>
  <si>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</si>
  <si>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</si>
  <si>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</si>
  <si>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</si>
  <si>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</si>
  <si>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</si>
  <si>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</si>
  <si>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</si>
  <si>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</si>
  <si>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</si>
  <si>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</si>
  <si>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</si>
  <si>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</si>
  <si>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</si>
  <si>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</si>
  <si>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</si>
  <si>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</si>
  <si>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</si>
  <si>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</si>
  <si>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</si>
  <si>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</si>
  <si>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</si>
  <si>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</si>
  <si>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</si>
  <si>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</si>
  <si>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</si>
  <si>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</si>
  <si>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</si>
  <si>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</si>
  <si>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</si>
  <si>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</si>
  <si>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</si>
  <si>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</si>
  <si>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</si>
  <si>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</si>
  <si>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</si>
  <si>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</si>
  <si>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</si>
  <si>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</si>
  <si>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</si>
  <si>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</si>
  <si>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</si>
  <si>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</si>
  <si>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</si>
  <si>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</si>
  <si>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</si>
  <si>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</si>
  <si>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</si>
  <si>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</si>
  <si>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</si>
  <si>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</si>
  <si>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</si>
  <si>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</si>
  <si>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</si>
  <si>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</si>
  <si>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</si>
  <si>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</si>
  <si>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</si>
  <si>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</si>
  <si>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</si>
  <si>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</si>
  <si>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</si>
  <si>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</si>
  <si>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</si>
  <si>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</si>
  <si>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</si>
  <si>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</si>
  <si>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</si>
  <si>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</si>
  <si>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</si>
  <si>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</si>
  <si>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</si>
  <si>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</si>
  <si>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</si>
  <si>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</si>
  <si>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</si>
  <si>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</si>
  <si>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</si>
  <si>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</si>
  <si>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</si>
  <si>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</si>
  <si>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</si>
  <si>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</si>
  <si>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</si>
  <si>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</si>
  <si>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</si>
  <si>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</si>
  <si>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</si>
  <si>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</si>
  <si>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</si>
  <si>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</si>
  <si>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</si>
  <si>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</si>
  <si>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</si>
  <si>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</si>
  <si>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</si>
  <si>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</si>
  <si>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</si>
  <si>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</si>
  <si>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</si>
  <si>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</si>
  <si>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</si>
  <si>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</si>
  <si>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</si>
  <si>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</si>
  <si>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</si>
  <si>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</si>
  <si>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</si>
  <si>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</si>
  <si>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</si>
  <si>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</si>
  <si>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</si>
  <si>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</si>
  <si>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</si>
  <si>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</si>
  <si>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</si>
  <si>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</si>
  <si>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</si>
  <si>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</si>
  <si>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</si>
  <si>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</si>
  <si>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</si>
  <si>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</si>
  <si>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</si>
  <si>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</si>
  <si>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</si>
  <si>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</si>
  <si>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</si>
  <si>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</si>
  <si>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</si>
  <si>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</si>
  <si>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</si>
  <si>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</si>
  <si>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</si>
  <si>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</si>
  <si>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</si>
  <si>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</si>
  <si>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</si>
  <si>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</si>
  <si>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</si>
  <si>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</si>
  <si>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</si>
  <si>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</si>
  <si>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</si>
  <si>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</si>
  <si>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</si>
  <si>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</si>
  <si>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</si>
  <si>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</si>
  <si>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</si>
  <si>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</si>
  <si>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</si>
  <si>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</si>
  <si>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</si>
  <si>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</si>
  <si>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</si>
  <si>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</si>
  <si>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</si>
  <si>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</si>
  <si>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</si>
  <si>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</si>
  <si>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</si>
  <si>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</si>
  <si>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</si>
  <si>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</si>
  <si>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</si>
  <si>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</si>
  <si>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</si>
  <si>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</si>
  <si>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</si>
  <si>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</si>
  <si>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</si>
  <si>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</si>
  <si>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</si>
  <si>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</si>
  <si>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</si>
  <si>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</si>
  <si>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</si>
  <si>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</si>
  <si>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</si>
  <si>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</si>
  <si>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</si>
  <si>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</si>
  <si>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</si>
  <si>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</si>
  <si>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</si>
  <si>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</si>
  <si>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</si>
  <si>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</si>
  <si>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</si>
  <si>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</si>
  <si>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</si>
  <si>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</si>
  <si>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</si>
  <si>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</si>
  <si>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</si>
  <si>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</si>
  <si>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</si>
  <si>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</si>
  <si>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</si>
  <si>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</si>
  <si>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</si>
  <si>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</si>
  <si>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</si>
  <si>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</si>
  <si>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</si>
  <si>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</si>
  <si>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</si>
  <si>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</si>
  <si>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</si>
  <si>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</si>
  <si>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</si>
  <si>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</si>
  <si>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</si>
  <si>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</si>
  <si>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</si>
  <si>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</si>
  <si>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</si>
  <si>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</si>
  <si>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</si>
  <si>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</si>
  <si>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</si>
  <si>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</si>
  <si>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</si>
  <si>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</si>
  <si>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</si>
  <si>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</si>
  <si>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</si>
  <si>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</si>
  <si>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</si>
  <si>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</si>
  <si>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</si>
  <si>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</si>
  <si>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</si>
  <si>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</si>
  <si>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</si>
  <si>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</si>
  <si>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</si>
  <si>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</si>
  <si>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</si>
  <si>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</si>
  <si>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</si>
  <si>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</si>
  <si>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</si>
  <si>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</si>
  <si>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</si>
  <si>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</si>
  <si>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</si>
  <si>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</si>
  <si>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</si>
  <si>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</si>
  <si>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</si>
  <si>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</si>
  <si>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</si>
  <si>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</si>
  <si>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</si>
  <si>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</si>
  <si>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</si>
  <si>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</si>
  <si>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</si>
  <si>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</si>
  <si>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</si>
  <si>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</si>
  <si>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</si>
  <si>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</si>
  <si>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</si>
  <si>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</si>
  <si>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</si>
  <si>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</si>
  <si>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</si>
  <si>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</si>
  <si>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</si>
  <si>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</si>
  <si>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</si>
  <si>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</si>
  <si>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</si>
  <si>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</si>
  <si>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</si>
  <si>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</si>
  <si>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</si>
  <si>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</si>
  <si>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</si>
  <si>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</si>
  <si>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</si>
  <si>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</si>
  <si>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</si>
  <si>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</si>
  <si>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</si>
  <si>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</si>
  <si>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</si>
  <si>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</si>
  <si>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</si>
  <si>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</si>
  <si>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</si>
  <si>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</si>
  <si>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</si>
  <si>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</si>
  <si>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</si>
  <si>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</si>
  <si>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</si>
  <si>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</si>
  <si>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</si>
  <si>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</si>
  <si>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</si>
  <si>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</si>
  <si>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</si>
  <si>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</si>
  <si>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</si>
  <si>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</si>
  <si>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</si>
  <si>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</si>
  <si>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</si>
  <si>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</si>
  <si>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</si>
  <si>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</si>
  <si>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</si>
  <si>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</si>
  <si>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</si>
  <si>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</si>
  <si>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</si>
  <si>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</si>
  <si>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</si>
  <si>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</si>
  <si>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</si>
  <si>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</si>
  <si>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</si>
  <si>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</si>
  <si>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</si>
  <si>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</si>
  <si>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</si>
  <si>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</si>
  <si>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</si>
  <si>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</si>
  <si>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</si>
  <si>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</si>
  <si>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</si>
  <si>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</si>
  <si>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</si>
  <si>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</si>
  <si>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</si>
  <si>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</si>
  <si>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</si>
  <si>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</si>
  <si>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</si>
  <si>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</si>
  <si>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</si>
  <si>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</si>
  <si>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</si>
  <si>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</si>
  <si>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</si>
  <si>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</si>
  <si>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</si>
  <si>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</si>
  <si>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</si>
  <si>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</si>
  <si>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</si>
  <si>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</si>
  <si>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</si>
  <si>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</si>
  <si>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</si>
  <si>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</si>
  <si>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</si>
  <si>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</si>
  <si>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</si>
  <si>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</si>
  <si>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</si>
  <si>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</si>
  <si>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</si>
  <si>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</si>
  <si>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</si>
  <si>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</si>
  <si>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</si>
  <si>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</si>
  <si>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</si>
  <si>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</si>
  <si>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</si>
  <si>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</si>
  <si>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</si>
  <si>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</si>
  <si>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</si>
  <si>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</si>
  <si>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</si>
  <si>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</si>
  <si>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</si>
  <si>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</si>
  <si>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</si>
  <si>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</si>
  <si>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</si>
  <si>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</si>
  <si>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</si>
  <si>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</si>
  <si>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</si>
  <si>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</si>
  <si>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</si>
  <si>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</si>
  <si>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</si>
  <si>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</si>
  <si>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</si>
  <si>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</si>
  <si>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</si>
  <si>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</si>
  <si>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</si>
  <si>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</si>
  <si>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</si>
  <si>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</si>
  <si>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</si>
  <si>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</si>
  <si>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</si>
  <si>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</si>
  <si>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</si>
  <si>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</si>
  <si>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</si>
  <si>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</si>
  <si>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</si>
  <si>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</si>
  <si>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</si>
  <si>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</si>
  <si>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</si>
  <si>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</si>
  <si>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</si>
  <si>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</si>
  <si>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</si>
  <si>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</si>
  <si>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</si>
  <si>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</si>
  <si>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</si>
  <si>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</si>
  <si>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</si>
  <si>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</si>
  <si>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</si>
  <si>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</si>
  <si>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</si>
  <si>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</si>
  <si>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</si>
  <si>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</si>
  <si>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</si>
  <si>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</si>
  <si>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</si>
  <si>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</si>
  <si>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</si>
  <si>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</si>
  <si>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</si>
  <si>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</si>
  <si>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</si>
  <si>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</si>
  <si>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</si>
  <si>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</si>
  <si>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</si>
  <si>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</si>
  <si>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</si>
  <si>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</si>
  <si>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</si>
  <si>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</si>
  <si>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</si>
  <si>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</si>
  <si>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</si>
  <si>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</si>
  <si>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</si>
  <si>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</si>
  <si>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</si>
  <si>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</si>
  <si>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</si>
  <si>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</si>
  <si>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</si>
  <si>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</si>
  <si>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</si>
  <si>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</si>
  <si>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</si>
  <si>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</si>
  <si>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</si>
  <si>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</si>
  <si>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</si>
  <si>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</si>
  <si>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</si>
  <si>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</si>
  <si>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</si>
  <si>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</si>
  <si>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</si>
  <si>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</si>
  <si>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</si>
  <si>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</si>
  <si>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</si>
  <si>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</si>
  <si>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</si>
  <si>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</si>
  <si>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</si>
  <si>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</si>
  <si>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</si>
  <si>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</si>
  <si>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</si>
  <si>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</si>
  <si>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</si>
  <si>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</si>
  <si>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</si>
  <si>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</si>
  <si>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</si>
  <si>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</si>
  <si>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</si>
  <si>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</si>
  <si>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</si>
  <si>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</si>
  <si>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</si>
  <si>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</si>
  <si>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</si>
  <si>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</si>
  <si>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</si>
  <si>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</si>
  <si>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</si>
  <si>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</si>
  <si>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</si>
  <si>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</si>
  <si>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</si>
  <si>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</si>
  <si>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</si>
  <si>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</si>
  <si>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</si>
  <si>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</si>
  <si>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</si>
  <si>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</si>
  <si>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</si>
  <si>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</si>
  <si>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</si>
  <si>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</si>
  <si>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</si>
  <si>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</si>
  <si>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</si>
  <si>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</si>
  <si>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</si>
  <si>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</si>
  <si>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</si>
  <si>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</si>
  <si>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</si>
  <si>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</si>
  <si>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</si>
  <si>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</si>
  <si>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</si>
  <si>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</si>
  <si>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</si>
  <si>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</si>
  <si>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</si>
  <si>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</si>
  <si>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</si>
  <si>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</si>
  <si>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</si>
  <si>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</si>
  <si>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</si>
  <si>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</si>
  <si>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</si>
  <si>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</si>
  <si>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</si>
  <si>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</si>
  <si>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</si>
  <si>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</si>
  <si>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</si>
  <si>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</si>
  <si>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</si>
  <si>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</si>
  <si>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</si>
  <si>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</si>
  <si>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</si>
  <si>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</si>
  <si>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</si>
  <si>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</si>
  <si>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</si>
  <si>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</si>
  <si>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</si>
  <si>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</si>
  <si>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</si>
  <si>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</si>
  <si>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</si>
  <si>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</si>
  <si>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</si>
  <si>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</si>
  <si>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</si>
  <si>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</si>
  <si>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</si>
  <si>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</si>
  <si>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</si>
  <si>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</si>
  <si>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</si>
  <si>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</si>
  <si>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</si>
  <si>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</si>
  <si>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</si>
  <si>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</si>
  <si>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</si>
  <si>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</si>
  <si>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</si>
  <si>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</si>
  <si>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</si>
  <si>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</si>
  <si>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</si>
  <si>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</si>
  <si>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</si>
  <si>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</si>
  <si>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</si>
  <si>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</si>
  <si>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</si>
  <si>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</si>
  <si>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</si>
  <si>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</si>
  <si>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</si>
  <si>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</si>
  <si>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</si>
  <si>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</si>
  <si>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</si>
  <si>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</si>
  <si>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</si>
  <si>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</si>
  <si>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</si>
  <si>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</si>
  <si>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</si>
  <si>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</si>
  <si>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</si>
  <si>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</si>
  <si>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</si>
  <si>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</si>
  <si>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</si>
  <si>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</si>
  <si>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</si>
  <si>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</si>
  <si>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</si>
  <si>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</si>
  <si>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</si>
  <si>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</si>
  <si>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</si>
  <si>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</si>
  <si>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</si>
  <si>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</si>
  <si>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</si>
  <si>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</si>
  <si>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</si>
  <si>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</si>
  <si>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</si>
  <si>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</si>
  <si>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</si>
  <si>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</si>
  <si>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</si>
  <si>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</si>
  <si>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</si>
  <si>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</si>
  <si>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</si>
  <si>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</si>
  <si>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</si>
  <si>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</si>
  <si>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</si>
  <si>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</si>
  <si>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</si>
  <si>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</si>
  <si>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</si>
  <si>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</si>
  <si>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</si>
  <si>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</si>
  <si>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</si>
  <si>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</si>
  <si>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</si>
  <si>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</si>
  <si>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</si>
  <si>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</si>
  <si>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</si>
  <si>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</si>
  <si>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</si>
  <si>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</si>
  <si>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</si>
  <si>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</si>
  <si>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</si>
  <si>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</si>
  <si>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</si>
  <si>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</si>
  <si>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</si>
  <si>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</si>
  <si>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</si>
  <si>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</si>
  <si>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</si>
  <si>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</si>
  <si>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</si>
  <si>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</si>
  <si>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</si>
  <si>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</si>
  <si>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</si>
  <si>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</si>
  <si>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</si>
  <si>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</si>
  <si>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</si>
  <si>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</si>
  <si>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</si>
  <si>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</si>
  <si>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</si>
  <si>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</si>
  <si>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</si>
  <si>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</si>
  <si>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</si>
  <si>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</si>
  <si>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</si>
  <si>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</si>
  <si>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</si>
  <si>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</si>
  <si>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</si>
  <si>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</si>
  <si>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</si>
  <si>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</si>
  <si>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</si>
  <si>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</si>
  <si>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</si>
  <si>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</si>
  <si>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</si>
  <si>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</si>
  <si>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</si>
  <si>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</si>
  <si>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</si>
  <si>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</si>
  <si>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</si>
  <si>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</si>
  <si>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</si>
  <si>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</si>
  <si>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</si>
  <si>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</si>
  <si>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</si>
  <si>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</si>
  <si>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</si>
  <si>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</si>
  <si>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</si>
  <si>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</si>
  <si>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</si>
  <si>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</si>
  <si>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</si>
  <si>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</si>
  <si>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</si>
  <si>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</si>
  <si>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</si>
  <si>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</si>
  <si>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</si>
  <si>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</si>
  <si>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</si>
  <si>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</si>
  <si>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</si>
  <si>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</si>
  <si>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</si>
  <si>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</si>
  <si>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</si>
  <si>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</si>
  <si>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</si>
  <si>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</si>
  <si>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</si>
  <si>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</si>
  <si>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</si>
  <si>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</si>
  <si>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</si>
  <si>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</si>
  <si>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</si>
  <si>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</si>
  <si>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</si>
  <si>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</si>
  <si>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</si>
  <si>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</si>
  <si>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</si>
  <si>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</si>
  <si>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</si>
  <si>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</si>
  <si>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</si>
  <si>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</si>
  <si>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</si>
  <si>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</si>
  <si>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</si>
  <si>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</si>
  <si>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</si>
  <si>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</si>
  <si>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</si>
  <si>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</si>
  <si>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</si>
  <si>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</si>
  <si>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</si>
  <si>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</si>
  <si>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</si>
  <si>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</si>
  <si>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</si>
  <si>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</si>
  <si>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</si>
  <si>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</si>
  <si>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</si>
  <si>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</si>
  <si>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</si>
  <si>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</si>
  <si>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</si>
  <si>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</si>
  <si>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</si>
  <si>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</si>
  <si>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</si>
  <si>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</si>
  <si>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</si>
  <si>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</si>
  <si>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</si>
  <si>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</si>
  <si>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</si>
  <si>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</si>
  <si>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</si>
  <si>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</si>
  <si>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</si>
  <si>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</si>
  <si>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</si>
  <si>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</si>
  <si>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</si>
  <si>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</si>
  <si>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</si>
  <si>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</si>
  <si>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</si>
  <si>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</si>
  <si>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</si>
  <si>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</si>
  <si>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</si>
  <si>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</si>
  <si>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</si>
  <si>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</si>
  <si>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</si>
  <si>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</si>
  <si>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</si>
  <si>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</si>
  <si>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</si>
  <si>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</si>
  <si>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</si>
  <si>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</si>
  <si>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</si>
  <si>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</si>
  <si>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</si>
  <si>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</si>
  <si>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</si>
  <si>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</si>
  <si>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</si>
  <si>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</si>
  <si>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</si>
  <si>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</si>
  <si>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</si>
  <si>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</si>
  <si>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</si>
  <si>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</si>
  <si>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</si>
  <si>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</si>
  <si>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</si>
  <si>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</si>
  <si>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</si>
  <si>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</si>
  <si>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</si>
  <si>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</si>
  <si>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</si>
  <si>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</si>
  <si>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</si>
  <si>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</si>
  <si>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</si>
  <si>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</si>
  <si>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</si>
  <si>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</si>
  <si>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</si>
  <si>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</si>
  <si>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</si>
  <si>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</si>
  <si>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</si>
  <si>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</si>
  <si>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</si>
  <si>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</si>
  <si>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</si>
  <si>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</si>
  <si>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</si>
  <si>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</si>
  <si>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</si>
  <si>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</si>
  <si>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</si>
  <si>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</si>
  <si>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</si>
  <si>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</si>
  <si>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</si>
  <si>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</si>
  <si>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</si>
  <si>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</si>
  <si>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</si>
  <si>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</si>
  <si>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</si>
  <si>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</si>
  <si>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</si>
  <si>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</si>
  <si>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</si>
  <si>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</si>
  <si>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</si>
  <si>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</si>
  <si>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</si>
  <si>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</si>
  <si>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</si>
  <si>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</si>
  <si>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</si>
  <si>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</si>
  <si>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</si>
  <si>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</si>
  <si>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</si>
  <si>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</si>
  <si>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</si>
  <si>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</si>
  <si>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</si>
  <si>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</si>
  <si>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</si>
  <si>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</si>
  <si>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</si>
  <si>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</si>
  <si>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</si>
  <si>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</si>
  <si>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</si>
  <si>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</si>
  <si>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</si>
  <si>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</si>
  <si>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</si>
  <si>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</si>
  <si>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</si>
  <si>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</si>
  <si>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</si>
  <si>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</si>
  <si>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</si>
  <si>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</si>
  <si>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</si>
  <si>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</si>
  <si>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</si>
  <si>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</si>
  <si>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</si>
  <si>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</si>
  <si>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</si>
  <si>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</si>
  <si>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</si>
  <si>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</si>
  <si>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</si>
  <si>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</si>
  <si>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</si>
  <si>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</si>
  <si>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</si>
  <si>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</si>
  <si>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</si>
  <si>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</si>
  <si>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</si>
  <si>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</si>
  <si>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</si>
  <si>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</si>
  <si>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</si>
  <si>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</si>
  <si>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</si>
  <si>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</si>
  <si>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</si>
  <si>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</si>
  <si>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</si>
  <si>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</si>
  <si>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</si>
  <si>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</si>
  <si>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</si>
  <si>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</si>
  <si>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</si>
  <si>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</si>
  <si>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</si>
  <si>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</si>
  <si>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</si>
  <si>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</si>
  <si>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</si>
  <si>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</si>
  <si>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</si>
  <si>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</si>
  <si>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</si>
  <si>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</si>
  <si>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</si>
  <si>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</si>
  <si>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</si>
  <si>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</si>
  <si>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</si>
  <si>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</si>
  <si>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</si>
  <si>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</si>
  <si>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</si>
  <si>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</si>
  <si>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</si>
  <si>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</si>
  <si>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</si>
  <si>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</si>
  <si>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</si>
  <si>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</si>
  <si>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</si>
  <si>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</si>
  <si>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</si>
  <si>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</si>
  <si>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</si>
  <si>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</si>
  <si>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</si>
  <si>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</si>
  <si>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</si>
  <si>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</si>
  <si>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</si>
  <si>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</si>
  <si>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</si>
  <si>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</si>
  <si>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</si>
  <si>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</si>
  <si>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</si>
  <si>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</si>
  <si>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</si>
  <si>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</si>
  <si>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</si>
  <si>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</si>
  <si>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</si>
  <si>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</si>
  <si>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</si>
  <si>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</si>
  <si>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</si>
  <si>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</si>
  <si>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</si>
  <si>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</si>
  <si>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</si>
  <si>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</si>
  <si>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</si>
  <si>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</si>
  <si>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</si>
  <si>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</si>
  <si>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</si>
  <si>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</si>
  <si>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</si>
  <si>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</si>
  <si>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</si>
  <si>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</si>
  <si>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</si>
  <si>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</si>
  <si>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</si>
  <si>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</si>
  <si>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</si>
  <si>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</si>
  <si>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</si>
  <si>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</si>
  <si>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</si>
  <si>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</si>
  <si>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</si>
  <si>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</si>
  <si>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</si>
  <si>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</si>
  <si>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</si>
  <si>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</si>
  <si>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</si>
  <si>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</si>
  <si>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</si>
  <si>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</si>
  <si>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</si>
  <si>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</si>
  <si>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</si>
  <si>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</si>
  <si>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</si>
  <si>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</si>
  <si>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</si>
  <si>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</si>
  <si>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</si>
  <si>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</si>
  <si>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</si>
  <si>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</si>
  <si>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</si>
  <si>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</si>
  <si>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</si>
  <si>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</si>
  <si>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</si>
  <si>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</si>
  <si>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</si>
  <si>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</si>
  <si>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</si>
  <si>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</si>
  <si>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</si>
  <si>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</si>
  <si>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</si>
  <si>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</si>
  <si>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</si>
  <si>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</si>
  <si>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</si>
  <si>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</si>
  <si>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</si>
  <si>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</si>
  <si>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</si>
  <si>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</si>
  <si>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</si>
  <si>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</si>
  <si>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</si>
  <si>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</si>
  <si>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</si>
  <si>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</si>
  <si>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</si>
  <si>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</si>
  <si>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</si>
  <si>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</si>
  <si>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</si>
  <si>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</si>
  <si>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</si>
  <si>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</si>
  <si>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</si>
  <si>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</si>
  <si>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</si>
  <si>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</si>
  <si>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</si>
  <si>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</si>
  <si>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</si>
  <si>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</si>
  <si>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</si>
  <si>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</si>
  <si>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</si>
  <si>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</si>
  <si>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</si>
  <si>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</si>
  <si>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</si>
  <si>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</si>
  <si>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</si>
  <si>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</si>
  <si>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</si>
  <si>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</si>
  <si>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</si>
  <si>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</si>
  <si>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</si>
  <si>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</si>
  <si>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</si>
  <si>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</si>
  <si>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</si>
  <si>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</si>
  <si>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</si>
  <si>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</si>
  <si>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</si>
  <si>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</si>
  <si>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</si>
  <si>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</si>
  <si>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</si>
  <si>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</si>
  <si>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</si>
  <si>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</si>
  <si>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</si>
  <si>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</si>
  <si>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</si>
  <si>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</si>
  <si>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</si>
  <si>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</si>
  <si>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</si>
  <si>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</si>
  <si>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</si>
  <si>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</si>
  <si>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</si>
  <si>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</si>
  <si>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</si>
  <si>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</si>
  <si>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</si>
  <si>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</si>
  <si>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</si>
  <si>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</si>
  <si>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</si>
  <si>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</si>
  <si>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</si>
  <si>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</si>
  <si>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</si>
  <si>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</si>
  <si>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</si>
  <si>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</si>
  <si>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</si>
  <si>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</si>
  <si>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</si>
  <si>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</si>
  <si>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</si>
  <si>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</si>
  <si>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</si>
  <si>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</si>
  <si>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</si>
  <si>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</si>
  <si>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</si>
  <si>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</si>
  <si>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</si>
  <si>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</si>
  <si>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</si>
  <si>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</si>
  <si>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</si>
  <si>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</si>
  <si>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</si>
  <si>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</si>
  <si>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</si>
  <si>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</si>
  <si>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</si>
  <si>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</si>
  <si>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</si>
  <si>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</si>
  <si>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</si>
  <si>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</si>
  <si>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</si>
  <si>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</si>
  <si>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</si>
  <si>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</si>
  <si>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</si>
  <si>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</si>
  <si>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</si>
  <si>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</si>
  <si>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</si>
  <si>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</si>
  <si>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</si>
  <si>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</si>
  <si>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</si>
  <si>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</si>
  <si>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</si>
  <si>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</si>
  <si>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</si>
  <si>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</si>
  <si>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</si>
  <si>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</si>
  <si>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</si>
  <si>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</si>
  <si>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</si>
  <si>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</si>
  <si>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</si>
  <si>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</si>
  <si>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</si>
  <si>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</si>
  <si>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</si>
  <si>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</si>
  <si>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</si>
  <si>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</si>
  <si>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</si>
  <si>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</si>
  <si>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</si>
  <si>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</si>
  <si>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</si>
  <si>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</si>
  <si>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</si>
  <si>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</si>
  <si>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</si>
  <si>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</si>
  <si>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</si>
  <si>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</si>
  <si>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</si>
  <si>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</si>
  <si>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</si>
  <si>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</si>
  <si>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</si>
  <si>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</si>
  <si>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</si>
  <si>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</si>
  <si>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</si>
  <si>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</si>
  <si>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</si>
  <si>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</si>
  <si>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</si>
  <si>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</si>
  <si>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</si>
  <si>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</si>
  <si>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</si>
  <si>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</si>
  <si>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</si>
  <si>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</si>
  <si>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</si>
  <si>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</si>
  <si>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</si>
  <si>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</si>
  <si>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</si>
  <si>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</si>
  <si>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</si>
  <si>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</si>
  <si>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</si>
  <si>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</si>
  <si>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</si>
  <si>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</si>
  <si>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</si>
  <si>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</si>
  <si>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</si>
  <si>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</si>
  <si>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</si>
  <si>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</si>
  <si>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</si>
  <si>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</si>
  <si>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</si>
  <si>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</si>
  <si>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</si>
  <si>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</si>
  <si>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</si>
  <si>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</si>
  <si>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</si>
  <si>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</si>
  <si>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</si>
  <si>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</si>
  <si>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</si>
  <si>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</si>
  <si>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</si>
  <si>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</si>
  <si>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</si>
  <si>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</si>
  <si>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</si>
  <si>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</si>
  <si>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</si>
  <si>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</si>
  <si>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</si>
  <si>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</si>
  <si>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</si>
  <si>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</si>
  <si>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</si>
  <si>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</si>
  <si>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</si>
  <si>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</si>
  <si>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</si>
  <si>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</si>
  <si>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</si>
  <si>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</si>
  <si>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</si>
  <si>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</si>
  <si>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</si>
  <si>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</si>
  <si>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</si>
  <si>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</si>
  <si>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</si>
  <si>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</si>
  <si>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</si>
  <si>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</si>
  <si>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</si>
  <si>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</si>
  <si>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</si>
  <si>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</si>
  <si>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</si>
  <si>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</si>
  <si>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</si>
  <si>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</si>
  <si>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</si>
  <si>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</si>
  <si>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</si>
  <si>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</si>
  <si>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</si>
  <si>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</si>
  <si>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</si>
  <si>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</si>
  <si>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</si>
  <si>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</si>
  <si>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</si>
  <si>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</si>
  <si>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</si>
  <si>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</si>
  <si>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</si>
  <si>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</si>
  <si>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</si>
  <si>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</si>
  <si>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</si>
  <si>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</si>
  <si>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</si>
  <si>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</si>
  <si>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</si>
  <si>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</si>
  <si>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</si>
  <si>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</si>
  <si>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</si>
  <si>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</si>
  <si>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</si>
  <si>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</si>
  <si>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</si>
  <si>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</si>
  <si>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</si>
  <si>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</si>
  <si>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</si>
  <si>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</si>
  <si>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</si>
  <si>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</si>
  <si>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</si>
  <si>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</si>
  <si>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</si>
  <si>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</si>
  <si>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</si>
  <si>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</si>
  <si>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</si>
  <si>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</si>
  <si>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</si>
  <si>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</si>
  <si>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</si>
  <si>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</si>
  <si>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</si>
  <si>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</si>
  <si>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</si>
  <si>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</si>
  <si>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</si>
  <si>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</si>
  <si>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</si>
  <si>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</si>
  <si>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</si>
  <si>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</si>
  <si>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</si>
  <si>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</si>
  <si>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</si>
  <si>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</si>
  <si>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</si>
  <si>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</si>
  <si>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</si>
  <si>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</si>
  <si>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</si>
  <si>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</si>
  <si>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</si>
  <si>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</si>
  <si>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</si>
  <si>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</si>
  <si>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</si>
  <si>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</si>
  <si>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</si>
  <si>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</si>
  <si>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</si>
  <si>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</si>
  <si>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</si>
  <si>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</si>
  <si>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</si>
  <si>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</si>
  <si>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</si>
  <si>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</si>
  <si>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</si>
  <si>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</si>
  <si>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</si>
  <si>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</si>
  <si>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</si>
  <si>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</si>
  <si>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</si>
  <si>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</si>
  <si>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</si>
  <si>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</si>
  <si>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</si>
  <si>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</si>
  <si>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</si>
  <si>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</si>
  <si>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</si>
  <si>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</si>
  <si>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</si>
  <si>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</si>
  <si>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</si>
  <si>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</si>
  <si>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</si>
  <si>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</si>
  <si>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</si>
  <si>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</si>
  <si>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</si>
  <si>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</si>
  <si>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</si>
  <si>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</si>
  <si>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</si>
  <si>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</si>
  <si>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</si>
  <si>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</si>
  <si>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</si>
  <si>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</si>
  <si>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</si>
  <si>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</si>
  <si>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</si>
  <si>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</si>
  <si>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</si>
  <si>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</si>
  <si>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</si>
  <si>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</si>
  <si>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</si>
  <si>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</si>
  <si>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</si>
  <si>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</si>
  <si>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</si>
  <si>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</si>
  <si>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</si>
  <si>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</si>
  <si>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</si>
  <si>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</si>
  <si>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</si>
  <si>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</si>
  <si>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</si>
  <si>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</si>
  <si>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</si>
  <si>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</si>
  <si>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</si>
  <si>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</si>
  <si>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</si>
  <si>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</si>
  <si>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</si>
  <si>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</si>
  <si>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</si>
  <si>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</si>
  <si>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</si>
  <si>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</si>
  <si>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</si>
  <si>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</si>
  <si>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</si>
  <si>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</si>
  <si>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</si>
  <si>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</si>
  <si>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</si>
  <si>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</si>
  <si>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</si>
  <si>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</si>
  <si>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</si>
  <si>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</si>
  <si>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</si>
  <si>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</si>
  <si>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</si>
  <si>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</si>
  <si>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</si>
  <si>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</si>
  <si>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</si>
  <si>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</si>
  <si>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</si>
  <si>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</si>
  <si>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</si>
  <si>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</si>
  <si>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</si>
  <si>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</si>
  <si>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</si>
  <si>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</si>
  <si>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</si>
  <si>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</si>
  <si>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</si>
  <si>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</si>
  <si>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</si>
  <si>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</si>
  <si>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</si>
  <si>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</si>
  <si>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</si>
  <si>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</si>
  <si>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</si>
  <si>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</si>
  <si>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</si>
  <si>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</si>
  <si>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</si>
  <si>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</si>
  <si>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</si>
  <si>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</si>
  <si>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</si>
  <si>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</si>
  <si>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</si>
  <si>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</si>
  <si>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</si>
  <si>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</si>
  <si>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</si>
  <si>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</si>
  <si>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</si>
  <si>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</si>
  <si>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</si>
  <si>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</si>
  <si>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</si>
  <si>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</si>
  <si>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</si>
  <si>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</si>
  <si>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</si>
  <si>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</si>
  <si>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</si>
  <si>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</si>
  <si>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</si>
  <si>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</si>
  <si>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</si>
  <si>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</si>
  <si>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</si>
  <si>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</si>
  <si>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</si>
  <si>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</si>
  <si>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</si>
  <si>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</si>
  <si>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</si>
  <si>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</si>
  <si>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</si>
  <si>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</si>
  <si>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</si>
  <si>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</si>
  <si>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</si>
  <si>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</si>
  <si>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</si>
  <si>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</si>
  <si>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</si>
  <si>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</si>
  <si>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</si>
  <si>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</si>
  <si>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</si>
  <si>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</si>
  <si>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</si>
  <si>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</si>
  <si>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</si>
  <si>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</si>
  <si>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</si>
  <si>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</si>
  <si>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</si>
  <si>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</si>
  <si>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</si>
  <si>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</si>
  <si>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</si>
  <si>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</si>
  <si>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</si>
  <si>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</si>
  <si>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</si>
  <si>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</si>
  <si>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</si>
  <si>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</si>
  <si>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</si>
  <si>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</si>
  <si>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</si>
  <si>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</si>
  <si>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</si>
  <si>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</si>
  <si>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</si>
  <si>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</si>
  <si>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</si>
  <si>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</si>
  <si>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</si>
  <si>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</si>
  <si>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</si>
  <si>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</si>
  <si>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</si>
  <si>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</si>
  <si>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</si>
  <si>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</si>
  <si>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</si>
  <si>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</si>
  <si>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</si>
  <si>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</si>
  <si>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</si>
  <si>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</si>
  <si>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</si>
  <si>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</si>
  <si>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</si>
  <si>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</si>
  <si>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</si>
  <si>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</si>
  <si>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</si>
  <si>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</si>
  <si>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</si>
  <si>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</si>
  <si>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</si>
  <si>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</si>
  <si>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</si>
  <si>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</si>
  <si>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</si>
  <si>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</si>
  <si>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</si>
  <si>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</si>
  <si>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</si>
  <si>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</si>
  <si>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</si>
  <si>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</si>
  <si>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</si>
  <si>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</si>
  <si>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</si>
  <si>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</si>
  <si>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</si>
  <si>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</si>
  <si>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</si>
  <si>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</si>
  <si>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</si>
  <si>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</si>
  <si>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</si>
  <si>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</si>
  <si>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</si>
  <si>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</si>
  <si>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</si>
  <si>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</si>
  <si>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</si>
  <si>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</si>
  <si>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</si>
  <si>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</si>
  <si>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</si>
  <si>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</si>
  <si>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</si>
  <si>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</si>
  <si>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</si>
  <si>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</si>
  <si>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</si>
  <si>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</si>
  <si>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</si>
  <si>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</si>
  <si>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</si>
  <si>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</si>
  <si>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</si>
  <si>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</si>
  <si>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</si>
  <si>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</si>
  <si>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</si>
  <si>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</si>
  <si>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</si>
  <si>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</si>
  <si>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</si>
  <si>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</si>
  <si>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</si>
  <si>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</si>
  <si>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</si>
  <si>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</si>
  <si>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</si>
  <si>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</si>
  <si>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</si>
  <si>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</si>
  <si>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</si>
  <si>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</si>
  <si>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</si>
  <si>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</si>
  <si>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</si>
  <si>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</si>
  <si>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</si>
  <si>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</si>
  <si>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</si>
  <si>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</si>
  <si>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</si>
  <si>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</si>
  <si>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</si>
  <si>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</si>
  <si>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</si>
  <si>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</si>
  <si>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</si>
  <si>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</si>
  <si>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</si>
  <si>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</si>
  <si>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</si>
  <si>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</si>
  <si>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</si>
  <si>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</si>
  <si>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</si>
  <si>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</si>
  <si>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</si>
  <si>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</si>
  <si>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</si>
  <si>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</si>
  <si>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</si>
  <si>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</si>
  <si>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</si>
  <si>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</si>
  <si>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</si>
  <si>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</si>
  <si>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</si>
  <si>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</si>
  <si>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</si>
  <si>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</si>
  <si>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</si>
  <si>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</si>
  <si>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</si>
  <si>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</si>
  <si>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</si>
  <si>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</si>
  <si>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</si>
  <si>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</si>
  <si>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</si>
  <si>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</si>
  <si>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</si>
  <si>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</si>
  <si>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</si>
  <si>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</si>
  <si>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</si>
  <si>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</si>
  <si>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</si>
  <si>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</si>
  <si>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</si>
  <si>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</si>
  <si>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</si>
  <si>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</si>
  <si>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</si>
  <si>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</si>
  <si>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</si>
  <si>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</si>
  <si>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</si>
  <si>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</si>
  <si>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</si>
  <si>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</si>
  <si>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</si>
  <si>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</si>
  <si>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</si>
  <si>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</si>
  <si>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</si>
  <si>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</si>
  <si>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</si>
  <si>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</si>
  <si>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</si>
  <si>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</si>
  <si>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</si>
  <si>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</si>
  <si>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</si>
  <si>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</si>
  <si>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</si>
  <si>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</si>
  <si>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</si>
  <si>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</si>
  <si>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</si>
  <si>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</si>
  <si>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</si>
  <si>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</si>
  <si>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</si>
  <si>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</si>
  <si>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</si>
  <si>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</si>
  <si>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</si>
  <si>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</si>
  <si>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</si>
  <si>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</si>
  <si>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</si>
  <si>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</si>
  <si>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</si>
  <si>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</si>
  <si>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</si>
  <si>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</si>
  <si>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</si>
  <si>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</si>
  <si>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</si>
  <si>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</si>
  <si>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</si>
  <si>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</si>
  <si>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</si>
  <si>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</si>
  <si>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</si>
  <si>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</si>
  <si>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</si>
  <si>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</si>
  <si>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</si>
  <si>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</si>
  <si>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</si>
  <si>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</si>
  <si>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</si>
  <si>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</si>
  <si>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</si>
  <si>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</si>
  <si>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</si>
  <si>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</si>
  <si>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</si>
  <si>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</si>
  <si>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</si>
  <si>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</si>
  <si>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</si>
  <si>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</si>
  <si>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</si>
  <si>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</si>
  <si>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</si>
  <si>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</si>
  <si>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</si>
  <si>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</si>
  <si>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</si>
  <si>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</si>
  <si>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</si>
  <si>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</si>
  <si>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</si>
  <si>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</si>
  <si>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</si>
  <si>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</si>
  <si>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</si>
  <si>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</si>
  <si>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</si>
  <si>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</si>
  <si>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</si>
  <si>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</si>
  <si>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</si>
  <si>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</si>
  <si>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</si>
  <si>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</si>
  <si>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</si>
  <si>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</si>
  <si>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</si>
  <si>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</si>
  <si>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</si>
  <si>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</si>
  <si>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</si>
  <si>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</si>
  <si>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</si>
  <si>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</si>
  <si>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</si>
  <si>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</si>
  <si>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</si>
  <si>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</si>
  <si>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</si>
  <si>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</si>
  <si>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</si>
  <si>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</si>
  <si>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</si>
  <si>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</si>
  <si>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</si>
  <si>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</si>
  <si>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</si>
  <si>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</si>
  <si>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</si>
  <si>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</si>
  <si>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</si>
  <si>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</si>
  <si>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</si>
  <si>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</si>
  <si>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</si>
  <si>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</si>
  <si>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</si>
  <si>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</si>
  <si>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</si>
  <si>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</si>
  <si>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</si>
  <si>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</si>
  <si>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</si>
  <si>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</si>
  <si>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</si>
  <si>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</si>
  <si>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</si>
  <si>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</si>
  <si>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</si>
  <si>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</si>
  <si>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</si>
  <si>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</si>
  <si>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</si>
  <si>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</si>
  <si>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</si>
  <si>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</si>
  <si>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</si>
  <si>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</si>
  <si>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</si>
  <si>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</si>
  <si>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</si>
  <si>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</si>
  <si>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</si>
  <si>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</si>
  <si>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</si>
  <si>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</si>
  <si>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</si>
  <si>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</si>
  <si>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</si>
  <si>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</si>
  <si>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</si>
  <si>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</si>
  <si>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</si>
  <si>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</si>
  <si>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</si>
  <si>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</si>
  <si>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</si>
  <si>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</si>
  <si>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</si>
  <si>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</si>
  <si>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</si>
  <si>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</si>
  <si>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</si>
  <si>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</si>
  <si>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</si>
  <si>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</si>
  <si>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</si>
  <si>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</si>
  <si>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</si>
  <si>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</si>
  <si>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</si>
  <si>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</si>
  <si>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</si>
  <si>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</si>
  <si>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</si>
  <si>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</si>
  <si>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</si>
  <si>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</si>
  <si>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</si>
  <si>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</si>
  <si>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</si>
  <si>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</si>
  <si>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</si>
  <si>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</si>
  <si>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</si>
  <si>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</si>
  <si>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</si>
  <si>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</si>
  <si>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</si>
  <si>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</si>
  <si>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</si>
  <si>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</si>
  <si>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</si>
  <si>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</si>
  <si>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</si>
  <si>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</si>
  <si>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</si>
  <si>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</si>
  <si>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</si>
  <si>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</si>
  <si>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</si>
  <si>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</si>
  <si>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</si>
  <si>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</si>
  <si>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</si>
  <si>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</si>
  <si>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</si>
  <si>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</si>
  <si>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</si>
  <si>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</si>
  <si>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</si>
  <si>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</si>
  <si>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</si>
  <si>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</si>
  <si>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</si>
  <si>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</si>
  <si>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</si>
  <si>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</si>
  <si>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</si>
  <si>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</si>
  <si>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</si>
  <si>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</si>
  <si>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</si>
  <si>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</si>
  <si>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</si>
  <si>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</si>
  <si>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</si>
  <si>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</si>
  <si>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</si>
  <si>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</si>
  <si>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</si>
  <si>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</si>
  <si>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</si>
  <si>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</si>
  <si>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</si>
  <si>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</si>
  <si>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</si>
  <si>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</si>
  <si>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</si>
  <si>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</si>
  <si>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</si>
  <si>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</si>
  <si>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</si>
  <si>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</si>
  <si>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</si>
  <si>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</si>
  <si>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</si>
  <si>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</si>
  <si>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</si>
  <si>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</si>
  <si>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</si>
  <si>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</si>
  <si>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</si>
  <si>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</si>
  <si>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</si>
  <si>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</si>
  <si>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</si>
  <si>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</si>
  <si>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</si>
  <si>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</si>
  <si>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</si>
  <si>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</si>
  <si>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</si>
  <si>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</si>
  <si>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</si>
  <si>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</si>
  <si>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</si>
  <si>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</si>
  <si>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</si>
  <si>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</si>
  <si>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</si>
  <si>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</si>
  <si>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</si>
  <si>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</si>
  <si>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</si>
  <si>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</si>
  <si>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</si>
  <si>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</si>
  <si>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</si>
  <si>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</si>
  <si>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</si>
  <si>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</si>
  <si>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</si>
  <si>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</si>
  <si>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</si>
  <si>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</si>
  <si>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</si>
  <si>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</si>
  <si>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</si>
  <si>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</si>
  <si>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</si>
  <si>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</si>
  <si>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</si>
  <si>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</si>
  <si>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</si>
  <si>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</si>
  <si>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</si>
  <si>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</si>
  <si>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</si>
  <si>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</si>
  <si>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</si>
  <si>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</si>
  <si>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</si>
  <si>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</si>
  <si>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</si>
  <si>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</si>
  <si>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</si>
  <si>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</si>
  <si>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</si>
  <si>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</si>
  <si>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</si>
  <si>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</si>
  <si>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</si>
  <si>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</si>
  <si>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</si>
  <si>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</si>
  <si>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</si>
  <si>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</si>
  <si>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</si>
  <si>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</si>
  <si>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</si>
  <si>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</si>
  <si>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</si>
  <si>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</si>
  <si>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</si>
  <si>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</si>
  <si>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</si>
  <si>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</si>
  <si>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</si>
  <si>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</si>
  <si>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</si>
  <si>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</si>
  <si>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</si>
  <si>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</si>
  <si>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</si>
  <si>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</si>
  <si>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</si>
  <si>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</si>
  <si>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</si>
  <si>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</si>
  <si>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</si>
  <si>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</si>
  <si>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</si>
  <si>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</si>
  <si>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</si>
  <si>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</si>
  <si>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</si>
  <si>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</si>
  <si>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</si>
  <si>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</si>
  <si>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</si>
  <si>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</si>
  <si>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</si>
  <si>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</si>
  <si>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</si>
  <si>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</si>
  <si>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</si>
  <si>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</si>
  <si>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</si>
  <si>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</si>
  <si>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</si>
  <si>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</si>
  <si>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</si>
  <si>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</si>
  <si>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</si>
  <si>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</si>
  <si>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</si>
  <si>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</si>
  <si>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</si>
  <si>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</si>
  <si>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</si>
  <si>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</si>
  <si>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</si>
  <si>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</si>
  <si>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</si>
  <si>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</si>
  <si>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</si>
  <si>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</si>
  <si>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</si>
  <si>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</si>
  <si>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</si>
  <si>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</si>
  <si>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</si>
  <si>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</si>
  <si>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</si>
  <si>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</si>
  <si>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</si>
  <si>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</si>
  <si>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</si>
  <si>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</si>
  <si>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</si>
  <si>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</si>
  <si>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</si>
  <si>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</si>
  <si>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</si>
  <si>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</si>
  <si>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</si>
  <si>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</si>
  <si>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</si>
  <si>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</si>
  <si>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</si>
  <si>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</si>
  <si>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</si>
  <si>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</si>
  <si>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</si>
  <si>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</si>
  <si>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</si>
  <si>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</si>
  <si>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</si>
  <si>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</si>
  <si>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</si>
  <si>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</si>
  <si>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</si>
  <si>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</si>
  <si>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</si>
  <si>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</si>
  <si>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</si>
  <si>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</si>
  <si>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</si>
  <si>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</si>
  <si>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</si>
  <si>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</si>
  <si>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</si>
  <si>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</si>
  <si>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</si>
  <si>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</si>
  <si>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</si>
  <si>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</si>
  <si>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</si>
  <si>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</si>
  <si>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</si>
  <si>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</si>
  <si>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</si>
  <si>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</si>
  <si>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</si>
  <si>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</si>
  <si>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</si>
  <si>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</si>
  <si>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</si>
  <si>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</si>
  <si>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</si>
  <si>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</si>
  <si>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</si>
  <si>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</si>
  <si>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</si>
  <si>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</si>
  <si>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</si>
  <si>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</si>
  <si>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</si>
  <si>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</si>
  <si>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</si>
  <si>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</si>
  <si>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</si>
  <si>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</si>
  <si>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</si>
  <si>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</si>
  <si>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</si>
  <si>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</si>
  <si>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</si>
  <si>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</si>
  <si>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</si>
  <si>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</si>
  <si>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</si>
  <si>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</si>
  <si>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</si>
  <si>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</si>
  <si>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</si>
  <si>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</si>
  <si>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</si>
  <si>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</si>
  <si>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</si>
  <si>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</si>
  <si>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</si>
  <si>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</si>
  <si>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</si>
  <si>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</si>
  <si>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</si>
  <si>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</si>
  <si>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</si>
  <si>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</si>
  <si>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</si>
  <si>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</si>
  <si>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</si>
  <si>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</si>
  <si>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</si>
  <si>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</si>
  <si>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</si>
  <si>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</si>
  <si>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</si>
  <si>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</si>
  <si>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</si>
  <si>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</si>
  <si>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</si>
  <si>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</si>
  <si>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</si>
  <si>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</si>
  <si>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</si>
  <si>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</si>
  <si>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</si>
  <si>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</si>
  <si>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</si>
  <si>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</si>
  <si>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</si>
  <si>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</si>
  <si>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</si>
  <si>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</si>
  <si>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</si>
  <si>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</si>
  <si>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</si>
  <si>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</si>
  <si>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</si>
  <si>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</si>
  <si>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</si>
  <si>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</si>
  <si>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</si>
  <si>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</si>
  <si>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</si>
  <si>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</si>
  <si>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</si>
  <si>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</si>
  <si>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</si>
  <si>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</si>
  <si>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</si>
  <si>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</si>
  <si>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</si>
  <si>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</si>
  <si>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</si>
  <si>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</si>
  <si>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</si>
  <si>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</si>
  <si>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</si>
  <si>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</si>
  <si>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</si>
  <si>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</si>
  <si>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</si>
  <si>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</si>
  <si>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</si>
  <si>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</si>
  <si>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</si>
  <si>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</si>
  <si>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</si>
  <si>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</si>
  <si>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</si>
  <si>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</si>
  <si>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</si>
  <si>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</si>
  <si>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</si>
  <si>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</si>
  <si>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</si>
  <si>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</si>
  <si>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</si>
  <si>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</si>
  <si>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</si>
  <si>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</si>
  <si>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</si>
  <si>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</si>
  <si>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</si>
  <si>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</si>
  <si>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</si>
  <si>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</si>
  <si>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</si>
  <si>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</si>
  <si>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</si>
  <si>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</si>
  <si>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</si>
  <si>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</si>
  <si>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</si>
  <si>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</si>
  <si>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</si>
  <si>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</si>
  <si>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</si>
  <si>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</si>
  <si>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</si>
  <si>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</si>
  <si>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</si>
  <si>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</si>
  <si>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</si>
  <si>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</si>
  <si>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</si>
  <si>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</si>
  <si>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</si>
  <si>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</si>
  <si>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</si>
  <si>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</si>
  <si>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</si>
  <si>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</si>
  <si>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</si>
  <si>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</si>
  <si>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</si>
  <si>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</si>
  <si>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</si>
  <si>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</si>
  <si>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</si>
  <si>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</si>
  <si>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</si>
  <si>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</si>
  <si>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</si>
  <si>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</si>
  <si>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</si>
  <si>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</si>
  <si>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</si>
  <si>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</si>
  <si>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</si>
  <si>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</si>
  <si>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</si>
  <si>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</si>
  <si>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</si>
  <si>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</si>
  <si>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</si>
  <si>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</si>
  <si>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</si>
  <si>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</si>
  <si>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</si>
  <si>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</si>
  <si>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</si>
  <si>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</si>
  <si>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</si>
  <si>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</si>
  <si>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</si>
  <si>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</si>
  <si>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</si>
  <si>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</si>
  <si>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</si>
  <si>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</si>
  <si>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</si>
  <si>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</si>
  <si>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</si>
  <si>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</si>
  <si>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</si>
  <si>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</si>
  <si>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</si>
  <si>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</si>
  <si>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</si>
  <si>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</si>
  <si>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</si>
  <si>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</si>
  <si>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</si>
  <si>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</si>
  <si>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</si>
  <si>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</si>
  <si>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</si>
  <si>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</si>
  <si>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</si>
  <si>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</si>
  <si>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</si>
  <si>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</si>
  <si>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</si>
  <si>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</si>
  <si>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</si>
  <si>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</si>
  <si>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</si>
  <si>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</si>
  <si>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</si>
  <si>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</si>
  <si>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</si>
  <si>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</si>
  <si>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</si>
  <si>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</si>
  <si>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</si>
  <si>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</si>
  <si>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</si>
  <si>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</si>
  <si>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</si>
  <si>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</si>
  <si>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</si>
  <si>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</si>
  <si>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</si>
  <si>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</si>
  <si>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</si>
  <si>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</si>
  <si>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</si>
  <si>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</si>
  <si>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</si>
  <si>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</si>
  <si>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</si>
  <si>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</si>
  <si>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</si>
  <si>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</si>
  <si>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</si>
  <si>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</si>
  <si>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</si>
  <si>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</si>
  <si>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</si>
  <si>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</si>
  <si>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</si>
  <si>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</si>
  <si>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</si>
  <si>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</si>
  <si>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</si>
  <si>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</si>
  <si>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</si>
  <si>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</si>
  <si>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</si>
  <si>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</si>
  <si>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</si>
  <si>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</si>
  <si>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</si>
  <si>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</si>
  <si>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</si>
  <si>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</si>
  <si>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</si>
  <si>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</si>
  <si>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</si>
  <si>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</si>
  <si>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</si>
  <si>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</si>
  <si>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</si>
  <si>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</si>
  <si>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</si>
  <si>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</si>
  <si>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</si>
  <si>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</si>
  <si>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</si>
  <si>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</si>
  <si>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</si>
  <si>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</si>
  <si>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</si>
  <si>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</si>
  <si>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</si>
  <si>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</si>
  <si>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</si>
  <si>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</si>
  <si>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</si>
  <si>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</si>
  <si>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</si>
  <si>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</si>
  <si>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</si>
  <si>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</si>
  <si>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</si>
  <si>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</si>
  <si>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</si>
  <si>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</si>
  <si>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</si>
  <si>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</si>
  <si>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</si>
  <si>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</si>
  <si>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</si>
  <si>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</si>
  <si>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</si>
  <si>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</si>
  <si>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</si>
  <si>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</si>
  <si>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</si>
  <si>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</si>
  <si>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</si>
  <si>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</si>
  <si>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</si>
  <si>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</si>
  <si>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</si>
  <si>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</si>
  <si>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</si>
  <si>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</si>
  <si>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</si>
  <si>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</si>
  <si>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</si>
  <si>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</si>
  <si>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</si>
  <si>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</si>
  <si>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</si>
  <si>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</si>
  <si>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</si>
  <si>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</si>
  <si>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</si>
  <si>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</si>
  <si>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</si>
  <si>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</si>
  <si>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</si>
  <si>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</si>
  <si>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</si>
  <si>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</si>
  <si>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</si>
  <si>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</si>
  <si>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</si>
  <si>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</si>
  <si>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</si>
  <si>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</si>
  <si>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</si>
  <si>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</si>
  <si>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</si>
  <si>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</si>
  <si>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</si>
  <si>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</si>
  <si>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</si>
  <si>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</si>
  <si>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</si>
  <si>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</si>
  <si>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</si>
  <si>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</si>
  <si>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</si>
  <si>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</si>
  <si>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</si>
  <si>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</si>
  <si>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</si>
  <si>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</si>
  <si>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</si>
  <si>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</si>
  <si>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</si>
  <si>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</si>
  <si>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</si>
  <si>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</si>
  <si>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</si>
  <si>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</si>
  <si>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</si>
  <si>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</si>
  <si>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</si>
  <si>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</si>
  <si>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</si>
  <si>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</si>
  <si>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</si>
  <si>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</si>
  <si>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</si>
  <si>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</si>
  <si>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</si>
  <si>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</si>
  <si>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</si>
  <si>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</si>
  <si>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</si>
  <si>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</si>
  <si>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</si>
  <si>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</si>
  <si>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</si>
  <si>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</si>
  <si>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</si>
  <si>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</si>
  <si>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</si>
  <si>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</si>
  <si>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</si>
  <si>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</si>
  <si>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</si>
  <si>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</si>
  <si>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</si>
  <si>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</si>
  <si>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</si>
  <si>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</si>
  <si>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</si>
  <si>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</si>
  <si>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</si>
  <si>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</si>
  <si>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</si>
  <si>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</si>
  <si>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</si>
  <si>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</si>
  <si>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</si>
  <si>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</si>
  <si>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</si>
  <si>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</si>
  <si>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</si>
  <si>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</si>
  <si>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</si>
  <si>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</si>
  <si>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</si>
  <si>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</si>
  <si>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</si>
  <si>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</si>
  <si>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</si>
  <si>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</si>
  <si>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</si>
  <si>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</si>
  <si>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</si>
  <si>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</si>
  <si>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</si>
  <si>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</si>
  <si>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</si>
  <si>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</si>
  <si>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</si>
  <si>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</si>
  <si>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</si>
  <si>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</si>
  <si>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</si>
  <si>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</si>
  <si>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</si>
  <si>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</si>
  <si>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</si>
  <si>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</si>
  <si>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</si>
  <si>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</si>
  <si>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</si>
  <si>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</si>
  <si>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</si>
  <si>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</si>
  <si>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</si>
  <si>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</si>
  <si>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</si>
  <si>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</si>
  <si>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</si>
  <si>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</si>
  <si>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</si>
  <si>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</si>
  <si>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</si>
  <si>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</si>
  <si>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</si>
  <si>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</si>
  <si>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</si>
  <si>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</si>
  <si>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</si>
  <si>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</si>
  <si>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</si>
  <si>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</si>
  <si>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</si>
  <si>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</si>
  <si>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</si>
  <si>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</si>
  <si>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</si>
  <si>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</si>
  <si>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</si>
  <si>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</si>
  <si>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</si>
  <si>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</si>
  <si>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</si>
  <si>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</si>
  <si>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</si>
  <si>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</si>
  <si>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</si>
  <si>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</si>
  <si>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</si>
  <si>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</si>
  <si>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</si>
  <si>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</si>
  <si>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</si>
  <si>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</si>
  <si>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</si>
  <si>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</si>
  <si>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</si>
  <si>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</si>
  <si>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</si>
  <si>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</si>
  <si>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</si>
  <si>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</si>
  <si>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</si>
  <si>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</si>
  <si>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</si>
  <si>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</si>
  <si>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</si>
  <si>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</si>
  <si>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</si>
  <si>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</si>
  <si>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</si>
  <si>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</si>
  <si>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</si>
  <si>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</si>
  <si>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</si>
  <si>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</si>
  <si>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</si>
  <si>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</si>
  <si>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</si>
  <si>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</si>
  <si>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</si>
  <si>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</si>
  <si>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</si>
  <si>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</si>
  <si>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</si>
  <si>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</si>
  <si>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</si>
  <si>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</si>
  <si>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</si>
  <si>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</si>
  <si>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</si>
  <si>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</si>
  <si>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</si>
  <si>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</si>
  <si>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</si>
  <si>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</si>
  <si>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</si>
  <si>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</si>
  <si>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</si>
  <si>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</si>
  <si>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</si>
  <si>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</si>
  <si>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</si>
  <si>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</si>
  <si>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</si>
  <si>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</si>
  <si>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</si>
  <si>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</si>
  <si>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</si>
  <si>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</si>
  <si>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</si>
  <si>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</si>
  <si>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</si>
  <si>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</si>
  <si>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</si>
  <si>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</si>
  <si>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</si>
  <si>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</si>
  <si>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</si>
  <si>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</si>
  <si>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</si>
  <si>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</si>
  <si>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</si>
  <si>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</si>
  <si>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</si>
  <si>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</si>
  <si>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</si>
  <si>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</si>
  <si>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</si>
  <si>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</si>
  <si>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</si>
  <si>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</si>
  <si>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</si>
  <si>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</si>
  <si>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</si>
  <si>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</si>
  <si>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</si>
  <si>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</si>
  <si>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</si>
  <si>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</si>
  <si>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</si>
  <si>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</si>
  <si>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</si>
  <si>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</si>
  <si>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</si>
  <si>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</si>
  <si>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</si>
  <si>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</si>
  <si>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</si>
  <si>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</si>
  <si>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</si>
  <si>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</si>
  <si>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</si>
  <si>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</si>
  <si>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</si>
  <si>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</si>
  <si>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</si>
  <si>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</si>
  <si>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</si>
  <si>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</si>
  <si>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</si>
  <si>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</si>
  <si>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</si>
  <si>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</si>
  <si>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</si>
  <si>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</si>
  <si>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</si>
  <si>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</si>
  <si>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</si>
  <si>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</si>
  <si>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</si>
  <si>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</si>
  <si>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</si>
  <si>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</si>
  <si>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</si>
  <si>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</si>
  <si>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</si>
  <si>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</si>
  <si>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</si>
  <si>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</si>
  <si>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</si>
  <si>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</si>
  <si>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</si>
  <si>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</si>
  <si>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</si>
  <si>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</si>
  <si>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</si>
  <si>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</si>
  <si>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</si>
  <si>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</si>
  <si>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</si>
  <si>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</si>
  <si>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</si>
  <si>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</si>
  <si>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</si>
  <si>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</si>
  <si>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</si>
  <si>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</si>
  <si>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</si>
  <si>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</si>
  <si>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</si>
  <si>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</si>
  <si>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</si>
  <si>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</si>
  <si>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</si>
  <si>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</si>
  <si>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</si>
  <si>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</si>
  <si>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</si>
  <si>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</si>
  <si>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</si>
  <si>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</si>
  <si>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</si>
  <si>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</si>
  <si>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</si>
  <si>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</si>
  <si>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</si>
  <si>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</si>
  <si>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</si>
  <si>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</si>
  <si>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</si>
  <si>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</si>
  <si>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</si>
  <si>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</si>
  <si>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</si>
  <si>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</si>
  <si>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</si>
  <si>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</si>
  <si>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</si>
  <si>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</si>
  <si>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</si>
  <si>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</si>
  <si>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</si>
  <si>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</si>
  <si>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</si>
  <si>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</si>
  <si>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</si>
  <si>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</si>
  <si>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</si>
  <si>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</si>
  <si>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</si>
  <si>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</si>
  <si>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</si>
  <si>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</si>
  <si>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</si>
  <si>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</si>
  <si>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</si>
  <si>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</si>
  <si>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</si>
  <si>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</si>
  <si>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</si>
  <si>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</si>
  <si>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</si>
  <si>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</si>
  <si>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</si>
  <si>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</si>
  <si>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</si>
  <si>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</si>
  <si>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</si>
  <si>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</si>
  <si>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</si>
  <si>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</si>
  <si>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</si>
  <si>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</si>
  <si>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</si>
  <si>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</si>
  <si>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</si>
  <si>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</si>
  <si>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</si>
  <si>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</si>
  <si>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</si>
  <si>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</si>
  <si>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</si>
  <si>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</si>
  <si>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</si>
  <si>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</si>
  <si>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</si>
  <si>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</si>
  <si>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</si>
  <si>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</si>
  <si>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</si>
  <si>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</si>
  <si>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</si>
  <si>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</si>
  <si>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</si>
  <si>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</si>
  <si>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</si>
  <si>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</si>
  <si>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</si>
  <si>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</si>
  <si>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</si>
  <si>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</si>
  <si>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</si>
  <si>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</si>
  <si>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</si>
  <si>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</si>
  <si>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</si>
  <si>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</si>
  <si>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</si>
  <si>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</si>
  <si>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</si>
  <si>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</si>
  <si>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</si>
  <si>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</si>
  <si>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</si>
  <si>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</si>
  <si>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</si>
  <si>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</si>
  <si>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</si>
  <si>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</si>
  <si>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</si>
  <si>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</si>
  <si>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</si>
  <si>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</si>
  <si>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</si>
  <si>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</si>
  <si>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</si>
  <si>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</si>
  <si>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</si>
  <si>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</si>
  <si>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</si>
  <si>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</si>
  <si>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</si>
  <si>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</si>
  <si>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</si>
  <si>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</si>
  <si>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</si>
  <si>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</si>
  <si>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</si>
  <si>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</si>
  <si>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</si>
  <si>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</si>
  <si>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</si>
  <si>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</si>
  <si>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</si>
  <si>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</si>
  <si>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</si>
  <si>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</si>
  <si>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</si>
  <si>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</si>
  <si>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</si>
  <si>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</si>
  <si>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</si>
  <si>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</si>
  <si>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</si>
  <si>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</si>
  <si>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</si>
  <si>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</si>
  <si>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</si>
  <si>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</si>
  <si>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</si>
  <si>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</si>
  <si>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</si>
  <si>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</si>
  <si>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</si>
  <si>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</si>
  <si>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</si>
  <si>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</si>
  <si>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</si>
  <si>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</si>
  <si>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</si>
  <si>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</si>
  <si>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</si>
  <si>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</si>
  <si>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</si>
  <si>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</si>
  <si>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</si>
  <si>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</si>
  <si>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</si>
  <si>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</si>
  <si>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</si>
  <si>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</si>
  <si>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</si>
  <si>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</si>
  <si>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</si>
  <si>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</si>
  <si>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</si>
  <si>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</si>
  <si>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</si>
  <si>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</si>
  <si>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</si>
  <si>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</si>
  <si>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</si>
  <si>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</si>
  <si>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</si>
  <si>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</si>
  <si>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</si>
  <si>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</si>
  <si>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</si>
  <si>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</si>
  <si>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</si>
  <si>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</si>
  <si>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</si>
  <si>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</si>
  <si>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</si>
  <si>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</si>
  <si>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</si>
  <si>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</si>
  <si>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</si>
  <si>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</si>
  <si>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</si>
  <si>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</si>
  <si>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</si>
  <si>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</si>
  <si>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</si>
  <si>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</si>
  <si>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</si>
  <si>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</si>
  <si>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</si>
  <si>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</si>
  <si>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</si>
  <si>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</si>
  <si>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</si>
  <si>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</si>
  <si>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</si>
  <si>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</si>
  <si>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</si>
  <si>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</si>
  <si>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</si>
  <si>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</si>
  <si>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</si>
  <si>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</si>
  <si>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</si>
  <si>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</si>
  <si>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</si>
  <si>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</si>
  <si>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</si>
  <si>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</si>
  <si>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</si>
  <si>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</si>
  <si>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</si>
  <si>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</si>
  <si>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</si>
  <si>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</si>
  <si>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</si>
  <si>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</si>
  <si>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</si>
  <si>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</si>
  <si>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</si>
  <si>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</si>
  <si>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</si>
  <si>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</si>
  <si>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</si>
  <si>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</si>
  <si>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</si>
  <si>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</si>
  <si>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</si>
  <si>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</si>
  <si>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</si>
  <si>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</si>
  <si>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</si>
  <si>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</si>
  <si>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</si>
  <si>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</si>
  <si>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</si>
  <si>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</si>
  <si>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</si>
  <si>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</si>
  <si>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</si>
  <si>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</si>
  <si>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</si>
  <si>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</si>
  <si>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</si>
  <si>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</si>
  <si>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</si>
  <si>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</si>
  <si>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</si>
  <si>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</si>
  <si>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</si>
  <si>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</si>
  <si>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</si>
  <si>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</si>
  <si>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</si>
  <si>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</si>
  <si>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</si>
  <si>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</si>
  <si>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</si>
  <si>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</si>
  <si>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</si>
  <si>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</si>
  <si>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</si>
  <si>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</si>
  <si>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</si>
  <si>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</si>
  <si>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</si>
  <si>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</si>
  <si>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</si>
  <si>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</si>
  <si>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</si>
  <si>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</si>
  <si>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</si>
  <si>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</si>
  <si>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</si>
  <si>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</si>
  <si>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</si>
  <si>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</si>
  <si>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</si>
  <si>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</si>
  <si>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</si>
  <si>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</si>
  <si>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</si>
  <si>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</si>
  <si>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</si>
  <si>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</si>
  <si>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</si>
  <si>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</si>
  <si>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</si>
  <si>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</si>
  <si>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</si>
  <si>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</si>
  <si>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</si>
  <si>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</si>
  <si>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</si>
  <si>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</si>
  <si>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</si>
  <si>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</si>
  <si>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</si>
  <si>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</si>
  <si>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</si>
  <si>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</si>
  <si>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</si>
  <si>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</si>
  <si>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</si>
  <si>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</si>
  <si>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</si>
  <si>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</si>
  <si>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</si>
  <si>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</si>
  <si>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</si>
  <si>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</si>
  <si>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</si>
  <si>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</si>
  <si>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</si>
  <si>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</si>
  <si>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</si>
  <si>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</si>
  <si>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</si>
  <si>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</si>
  <si>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</si>
  <si>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</si>
  <si>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</si>
  <si>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</si>
  <si>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</si>
  <si>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</si>
  <si>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</si>
  <si>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</si>
  <si>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</si>
  <si>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</si>
  <si>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</si>
  <si>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</si>
  <si>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</si>
  <si>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</si>
  <si>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</si>
  <si>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</si>
  <si>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</si>
  <si>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</si>
  <si>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</si>
  <si>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</si>
  <si>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</si>
  <si>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</si>
  <si>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</si>
  <si>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</si>
  <si>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</si>
  <si>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</si>
  <si>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</si>
  <si>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</si>
  <si>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</si>
  <si>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</si>
  <si>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</si>
  <si>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</si>
  <si>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</si>
  <si>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</si>
  <si>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</si>
  <si>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</si>
  <si>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</si>
  <si>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</si>
  <si>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</si>
  <si>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</si>
  <si>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</si>
  <si>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</si>
  <si>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</si>
  <si>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</si>
  <si>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</si>
  <si>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</si>
  <si>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</si>
  <si>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</si>
  <si>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</si>
  <si>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</si>
  <si>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</si>
  <si>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</si>
  <si>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</si>
  <si>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</si>
  <si>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</si>
  <si>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</si>
  <si>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</si>
  <si>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</si>
  <si>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</si>
  <si>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</si>
  <si>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</si>
  <si>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</si>
  <si>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</si>
  <si>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</si>
  <si>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</si>
  <si>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</si>
  <si>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</si>
  <si>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</si>
  <si>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</si>
  <si>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</si>
  <si>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</si>
  <si>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</si>
  <si>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</si>
  <si>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</si>
  <si>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</si>
  <si>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</si>
  <si>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</si>
  <si>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</si>
  <si>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</si>
  <si>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</si>
  <si>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</si>
  <si>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</si>
  <si>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</si>
  <si>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</si>
  <si>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</si>
  <si>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</si>
  <si>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</si>
  <si>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</si>
  <si>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</si>
  <si>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</si>
  <si>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</si>
  <si>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</si>
  <si>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</si>
  <si>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</si>
  <si>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</si>
  <si>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</si>
  <si>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</si>
  <si>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</si>
  <si>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</si>
  <si>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</si>
  <si>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</si>
  <si>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</si>
  <si>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</si>
  <si>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</si>
  <si>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</si>
  <si>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</si>
  <si>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</si>
  <si>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</si>
  <si>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</si>
  <si>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</si>
  <si>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</si>
  <si>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</si>
  <si>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</si>
  <si>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</si>
  <si>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</si>
  <si>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</si>
  <si>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</si>
  <si>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</si>
  <si>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</si>
  <si>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</si>
  <si>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</si>
  <si>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</si>
  <si>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</si>
  <si>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</si>
  <si>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</si>
  <si>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</si>
  <si>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</si>
  <si>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</si>
  <si>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</si>
  <si>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</si>
  <si>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</si>
  <si>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</si>
  <si>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</si>
  <si>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</si>
  <si>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</si>
  <si>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</si>
  <si>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</si>
  <si>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</si>
  <si>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</si>
  <si>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</si>
  <si>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</si>
  <si>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</si>
  <si>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</si>
  <si>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</si>
  <si>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</si>
  <si>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</si>
  <si>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</si>
  <si>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</si>
  <si>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</si>
  <si>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</si>
  <si>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</si>
  <si>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</si>
  <si>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</si>
  <si>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</si>
  <si>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</si>
  <si>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</si>
  <si>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</si>
  <si>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</si>
  <si>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</si>
  <si>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</si>
  <si>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</si>
  <si>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</si>
  <si>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</si>
  <si>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</si>
  <si>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</si>
  <si>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</si>
  <si>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</si>
  <si>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</si>
  <si>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</si>
  <si>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</si>
  <si>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</si>
  <si>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</si>
  <si>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</si>
  <si>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</si>
  <si>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</si>
  <si>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</si>
  <si>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</si>
  <si>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</si>
  <si>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</si>
  <si>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</si>
  <si>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</si>
  <si>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</si>
  <si>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</si>
  <si>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</si>
  <si>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</si>
  <si>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</si>
  <si>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</si>
  <si>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</si>
  <si>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</si>
  <si>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</si>
  <si>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</si>
  <si>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</si>
  <si>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</si>
  <si>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</si>
  <si>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</si>
  <si>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</si>
  <si>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</si>
  <si>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</si>
  <si>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</si>
  <si>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</si>
  <si>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</si>
  <si>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</si>
  <si>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</si>
  <si>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</si>
  <si>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</si>
  <si>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</si>
  <si>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</si>
  <si>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</si>
  <si>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</si>
  <si>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</si>
  <si>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</si>
  <si>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</si>
  <si>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</si>
  <si>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</si>
  <si>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</si>
  <si>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</si>
  <si>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</si>
  <si>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</si>
  <si>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</si>
  <si>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</si>
  <si>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</si>
  <si>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</si>
  <si>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</si>
  <si>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</si>
  <si>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</si>
  <si>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</si>
  <si>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</si>
  <si>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</si>
  <si>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</si>
  <si>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</si>
  <si>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</si>
  <si>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</si>
  <si>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</si>
  <si>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</si>
  <si>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</si>
  <si>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</si>
  <si>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</si>
  <si>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</si>
  <si>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</si>
  <si>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</si>
  <si>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</si>
  <si>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</si>
  <si>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</si>
  <si>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</si>
  <si>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</si>
  <si>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</si>
  <si>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</si>
  <si>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</si>
  <si>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</si>
  <si>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</si>
  <si>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</si>
  <si>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</si>
  <si>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</si>
  <si>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</si>
  <si>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</si>
  <si>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</si>
  <si>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</si>
  <si>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</si>
  <si>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</si>
  <si>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</si>
  <si>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</si>
  <si>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</si>
  <si>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</si>
  <si>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</si>
  <si>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</si>
  <si>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</si>
  <si>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</si>
  <si>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</si>
  <si>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</si>
  <si>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</si>
  <si>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</si>
  <si>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</si>
  <si>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</si>
  <si>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</si>
  <si>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</si>
  <si>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</si>
  <si>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</si>
  <si>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</si>
  <si>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</si>
  <si>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</si>
  <si>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</si>
  <si>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</si>
  <si>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</si>
  <si>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</si>
  <si>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</si>
  <si>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</si>
  <si>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</si>
  <si>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</si>
  <si>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</si>
  <si>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</si>
  <si>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</si>
  <si>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</si>
  <si>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</si>
  <si>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</si>
  <si>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</si>
  <si>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</si>
  <si>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</si>
  <si>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</si>
  <si>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</si>
  <si>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</si>
  <si>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</si>
  <si>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</si>
  <si>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</si>
  <si>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</si>
  <si>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</si>
  <si>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</si>
  <si>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</si>
  <si>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</si>
  <si>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</si>
  <si>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</si>
  <si>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</si>
  <si>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</si>
  <si>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</si>
  <si>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</si>
  <si>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</si>
  <si>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</si>
  <si>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</si>
  <si>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</si>
  <si>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</si>
  <si>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</si>
  <si>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</si>
  <si>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</si>
  <si>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</si>
  <si>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</si>
  <si>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</si>
  <si>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</si>
  <si>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</si>
  <si>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</si>
  <si>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</si>
  <si>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</si>
  <si>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</si>
  <si>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</si>
  <si>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</si>
  <si>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</si>
  <si>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</si>
  <si>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</si>
  <si>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</si>
  <si>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</si>
  <si>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</si>
  <si>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</si>
  <si>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</si>
  <si>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</si>
  <si>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</si>
  <si>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</si>
  <si>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</si>
  <si>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</si>
  <si>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</si>
  <si>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</si>
  <si>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</si>
  <si>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</si>
  <si>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</si>
  <si>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</si>
  <si>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</si>
  <si>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</si>
  <si>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</si>
  <si>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</si>
  <si>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</si>
  <si>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</si>
  <si>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</si>
  <si>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</si>
  <si>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</si>
  <si>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</si>
  <si>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</si>
  <si>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</si>
  <si>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</si>
  <si>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</si>
  <si>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</si>
  <si>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</si>
  <si>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</si>
  <si>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</si>
  <si>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</si>
  <si>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</si>
  <si>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</si>
  <si>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</si>
  <si>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</si>
  <si>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</si>
  <si>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</si>
  <si>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</si>
  <si>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</si>
  <si>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</si>
  <si>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</si>
  <si>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</si>
  <si>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</si>
  <si>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</si>
  <si>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</si>
  <si>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</si>
  <si>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</si>
  <si>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</si>
  <si>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</si>
  <si>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</si>
  <si>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</si>
  <si>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</si>
  <si>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</si>
  <si>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</si>
  <si>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</si>
  <si>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</si>
  <si>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</si>
  <si>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</si>
  <si>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</si>
  <si>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</si>
  <si>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</si>
  <si>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</si>
  <si>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</si>
  <si>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</si>
  <si>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</si>
  <si>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</si>
  <si>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</si>
  <si>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</si>
  <si>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</si>
  <si>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</si>
  <si>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</si>
  <si>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</si>
  <si>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</si>
  <si>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</si>
  <si>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</si>
  <si>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</si>
  <si>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</si>
  <si>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</si>
  <si>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</si>
  <si>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</si>
  <si>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</si>
  <si>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</si>
  <si>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</si>
  <si>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</si>
  <si>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</si>
  <si>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</si>
  <si>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</si>
  <si>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</si>
  <si>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</si>
  <si>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</si>
  <si>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</si>
  <si>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</si>
  <si>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</si>
  <si>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</si>
  <si>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</si>
  <si>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</si>
  <si>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</si>
  <si>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</si>
  <si>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</si>
  <si>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</si>
  <si>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</si>
  <si>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</si>
  <si>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</si>
  <si>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</si>
  <si>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</si>
  <si>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</si>
  <si>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</si>
  <si>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</si>
  <si>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</si>
  <si>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</si>
  <si>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</si>
  <si>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</si>
  <si>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</si>
  <si>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</si>
  <si>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</si>
  <si>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</si>
  <si>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</si>
  <si>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</si>
  <si>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</si>
  <si>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</si>
  <si>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</si>
  <si>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</si>
  <si>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</si>
  <si>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</si>
  <si>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</si>
  <si>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</si>
  <si>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</si>
  <si>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</si>
  <si>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</si>
  <si>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</si>
  <si>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</si>
  <si>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</si>
  <si>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</si>
  <si>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</si>
  <si>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</si>
  <si>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</si>
  <si>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</si>
  <si>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</si>
  <si>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</si>
  <si>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</si>
  <si>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</si>
  <si>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</si>
  <si>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</si>
  <si>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</si>
  <si>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</si>
  <si>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</si>
  <si>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</si>
  <si>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</si>
  <si>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</si>
  <si>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</si>
  <si>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</si>
  <si>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</si>
  <si>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</si>
  <si>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</si>
  <si>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</si>
  <si>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</si>
  <si>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</si>
  <si>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</si>
  <si>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</si>
  <si>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</si>
  <si>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</si>
  <si>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</si>
  <si>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</si>
  <si>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</si>
  <si>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</si>
  <si>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</si>
  <si>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</si>
  <si>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</si>
  <si>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</si>
  <si>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</si>
  <si>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</si>
  <si>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</si>
  <si>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</si>
  <si>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</si>
  <si>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</si>
  <si>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</si>
  <si>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</si>
  <si>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</si>
  <si>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</si>
  <si>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</si>
  <si>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</si>
  <si>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</si>
  <si>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</si>
  <si>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</si>
  <si>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</si>
  <si>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</si>
  <si>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</si>
  <si>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</si>
  <si>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</si>
  <si>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</si>
  <si>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</si>
  <si>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</si>
  <si>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</si>
  <si>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</si>
  <si>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</si>
  <si>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</si>
  <si>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</si>
  <si>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</si>
  <si>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</si>
  <si>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</si>
  <si>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</si>
  <si>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</si>
  <si>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</si>
  <si>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</si>
  <si>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</si>
  <si>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</si>
  <si>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</si>
  <si>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</si>
  <si>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</si>
  <si>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</si>
  <si>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</si>
  <si>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</si>
  <si>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</si>
  <si>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</si>
  <si>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</si>
  <si>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</si>
  <si>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</si>
  <si>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</si>
  <si>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</si>
  <si>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</si>
  <si>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</si>
  <si>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</si>
  <si>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</si>
  <si>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</si>
  <si>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</si>
  <si>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</si>
  <si>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</si>
  <si>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</si>
  <si>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</si>
  <si>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</si>
  <si>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</si>
  <si>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</si>
  <si>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</si>
  <si>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</si>
  <si>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</si>
  <si>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</si>
  <si>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</si>
  <si>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</si>
  <si>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</si>
  <si>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</si>
  <si>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</si>
  <si>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</si>
  <si>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</si>
  <si>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</si>
  <si>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</si>
  <si>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</si>
  <si>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</si>
  <si>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</si>
  <si>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</si>
  <si>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</si>
  <si>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</si>
  <si>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</si>
  <si>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</si>
  <si>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</si>
  <si>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</si>
  <si>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</si>
  <si>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</si>
  <si>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</si>
  <si>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</si>
  <si>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</si>
  <si>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</si>
  <si>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</si>
  <si>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</si>
  <si>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</si>
  <si>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</si>
  <si>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</si>
  <si>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</si>
  <si>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</si>
  <si>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</si>
  <si>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</si>
  <si>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</si>
  <si>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</si>
  <si>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</si>
  <si>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</si>
  <si>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</si>
  <si>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</si>
  <si>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</si>
  <si>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</si>
  <si>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</si>
  <si>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</si>
  <si>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</si>
  <si>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</si>
  <si>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</si>
  <si>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</si>
  <si>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</si>
  <si>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</si>
  <si>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</si>
  <si>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</si>
  <si>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</si>
  <si>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</si>
  <si>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</si>
  <si>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</si>
  <si>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</si>
  <si>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</si>
  <si>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</si>
  <si>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</si>
  <si>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</si>
  <si>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</si>
  <si>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</si>
  <si>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</si>
  <si>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</si>
  <si>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</si>
  <si>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</si>
  <si>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</si>
  <si>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</si>
  <si>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</si>
  <si>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</si>
  <si>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</si>
  <si>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</si>
  <si>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</si>
  <si>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</si>
  <si>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</si>
  <si>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</si>
  <si>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</si>
  <si>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</si>
  <si>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</si>
  <si>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</si>
  <si>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</si>
  <si>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</si>
  <si>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</si>
  <si>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</si>
  <si>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</si>
  <si>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</si>
  <si>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</si>
  <si>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</si>
  <si>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</si>
  <si>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</si>
  <si>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</si>
  <si>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</si>
  <si>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</si>
  <si>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</si>
  <si>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</si>
  <si>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</si>
  <si>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</si>
  <si>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</si>
  <si>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</si>
  <si>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</si>
  <si>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</si>
  <si>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</si>
  <si>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</si>
  <si>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</si>
  <si>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</si>
  <si>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</si>
  <si>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</si>
  <si>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</si>
  <si>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</si>
  <si>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</si>
  <si>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</si>
  <si>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</si>
  <si>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</si>
  <si>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</si>
  <si>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</si>
  <si>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</si>
  <si>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</si>
  <si>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</si>
  <si>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</si>
  <si>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</si>
  <si>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</si>
  <si>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</si>
  <si>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</si>
  <si>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</si>
  <si>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</si>
  <si>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</si>
  <si>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</si>
  <si>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</si>
  <si>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</si>
  <si>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</si>
  <si>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</si>
  <si>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</si>
  <si>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</si>
  <si>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</si>
  <si>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</si>
  <si>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</si>
  <si>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</si>
  <si>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</si>
  <si>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</si>
  <si>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</si>
  <si>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</si>
  <si>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</si>
  <si>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</si>
  <si>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</si>
  <si>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</si>
  <si>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</si>
  <si>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</si>
  <si>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</si>
  <si>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</si>
  <si>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</si>
  <si>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</si>
  <si>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</si>
  <si>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</si>
  <si>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</si>
  <si>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</si>
  <si>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</si>
  <si>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</si>
  <si>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</si>
  <si>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</si>
  <si>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</si>
  <si>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</si>
  <si>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</si>
  <si>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</si>
  <si>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</si>
  <si>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</si>
  <si>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</si>
  <si>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</si>
  <si>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</si>
  <si>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</si>
  <si>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</si>
  <si>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</si>
  <si>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</si>
  <si>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</si>
  <si>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</si>
  <si>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</si>
  <si>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</si>
  <si>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</si>
  <si>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</si>
  <si>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</si>
  <si>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</si>
  <si>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</si>
  <si>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</si>
  <si>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</si>
  <si>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</si>
  <si>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</si>
  <si>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</si>
  <si>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</si>
  <si>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</si>
  <si>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</si>
  <si>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</si>
  <si>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</si>
  <si>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</si>
  <si>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</si>
  <si>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</si>
  <si>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</si>
  <si>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</si>
  <si>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</si>
  <si>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</si>
  <si>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</si>
  <si>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</si>
  <si>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</si>
  <si>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</si>
  <si>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</si>
  <si>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</si>
  <si>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</si>
  <si>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</si>
  <si>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</si>
  <si>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</si>
  <si>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</si>
  <si>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</si>
  <si>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</si>
  <si>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</si>
  <si>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</si>
  <si>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</si>
  <si>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</si>
  <si>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</si>
  <si>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</si>
  <si>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</si>
  <si>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</si>
  <si>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</si>
  <si>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</si>
  <si>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</si>
  <si>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</si>
  <si>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</si>
  <si>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</si>
  <si>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</si>
  <si>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</si>
  <si>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</si>
  <si>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</si>
  <si>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</si>
  <si>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</si>
  <si>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</si>
  <si>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</si>
  <si>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</si>
  <si>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</si>
  <si>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</si>
  <si>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</si>
  <si>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</si>
  <si>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</si>
  <si>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</si>
  <si>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</si>
  <si>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</si>
  <si>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</si>
  <si>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</si>
  <si>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</si>
  <si>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</si>
  <si>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</si>
  <si>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</si>
  <si>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</si>
  <si>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</si>
  <si>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</si>
  <si>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</si>
  <si>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</si>
  <si>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</si>
  <si>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</si>
  <si>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</si>
  <si>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</si>
  <si>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</si>
  <si>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</si>
  <si>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</si>
  <si>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</si>
  <si>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</si>
  <si>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</si>
  <si>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</si>
  <si>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</si>
  <si>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</si>
  <si>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</si>
  <si>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</si>
  <si>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</si>
  <si>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</si>
  <si>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</si>
  <si>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</si>
  <si>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</si>
  <si>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</si>
  <si>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</si>
  <si>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</si>
  <si>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</si>
  <si>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</si>
  <si>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</si>
  <si>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</si>
  <si>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</si>
  <si>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</si>
  <si>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</si>
  <si>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</si>
  <si>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</si>
  <si>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</si>
  <si>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</si>
  <si>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</si>
  <si>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</si>
  <si>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</si>
  <si>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</si>
  <si>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</si>
  <si>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</si>
  <si>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</si>
  <si>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</si>
  <si>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</si>
  <si>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</si>
  <si>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</si>
  <si>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</si>
  <si>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</si>
  <si>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</si>
  <si>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</si>
  <si>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</si>
  <si>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</si>
  <si>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</si>
  <si>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</si>
  <si>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</si>
  <si>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</si>
  <si>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</si>
  <si>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</si>
  <si>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</si>
  <si>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</si>
  <si>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</si>
  <si>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</si>
  <si>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</si>
  <si>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</si>
  <si>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</si>
  <si>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</si>
  <si>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</si>
  <si>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</si>
  <si>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</si>
  <si>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</si>
  <si>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</si>
  <si>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</si>
  <si>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</si>
  <si>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</si>
  <si>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</si>
  <si>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</si>
  <si>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</si>
  <si>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</si>
  <si>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</si>
  <si>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</si>
  <si>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</si>
  <si>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</si>
  <si>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</si>
  <si>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</si>
  <si>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</si>
  <si>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</si>
  <si>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</si>
  <si>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</si>
  <si>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</si>
  <si>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</si>
  <si>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</si>
  <si>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</si>
  <si>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</si>
  <si>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</si>
  <si>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</si>
  <si>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</si>
  <si>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</si>
  <si>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</si>
  <si>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</si>
  <si>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</si>
  <si>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</si>
  <si>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</si>
  <si>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</si>
  <si>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</si>
  <si>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</si>
  <si>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</si>
  <si>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</si>
  <si>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</si>
  <si>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</si>
  <si>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</si>
  <si>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</si>
  <si>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</si>
  <si>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</si>
  <si>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</si>
  <si>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</si>
  <si>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</si>
  <si>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</si>
  <si>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</si>
  <si>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</si>
  <si>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</si>
  <si>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</si>
  <si>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</si>
  <si>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</si>
  <si>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</si>
  <si>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</si>
  <si>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</si>
  <si>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</si>
  <si>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</si>
  <si>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</si>
  <si>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</si>
  <si>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</si>
  <si>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</si>
  <si>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</si>
  <si>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</si>
  <si>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</si>
  <si>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</si>
  <si>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</si>
  <si>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</si>
  <si>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</si>
  <si>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</si>
  <si>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</si>
  <si>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</si>
  <si>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</si>
  <si>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</si>
  <si>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</si>
  <si>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</si>
  <si>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</si>
  <si>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</si>
  <si>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</si>
  <si>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</si>
  <si>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</si>
  <si>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</si>
  <si>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</si>
  <si>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</si>
  <si>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</si>
  <si>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</si>
  <si>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</si>
  <si>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</si>
  <si>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</si>
  <si>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</si>
  <si>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</si>
  <si>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</si>
  <si>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</si>
  <si>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</si>
  <si>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</si>
  <si>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</si>
  <si>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</si>
  <si>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</si>
  <si>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</si>
  <si>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</si>
  <si>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</si>
  <si>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</si>
  <si>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</si>
  <si>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</si>
  <si>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</si>
  <si>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</si>
  <si>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</si>
  <si>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</si>
  <si>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</si>
  <si>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</si>
  <si>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</si>
  <si>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</si>
  <si>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</si>
  <si>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</si>
  <si>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</si>
  <si>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</si>
  <si>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</si>
  <si>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</si>
  <si>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</si>
  <si>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</si>
  <si>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</si>
  <si>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</si>
  <si>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</si>
  <si>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</si>
  <si>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</si>
  <si>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</si>
  <si>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</si>
  <si>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</si>
  <si>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</si>
  <si>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</si>
  <si>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</si>
  <si>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</si>
  <si>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</si>
  <si>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</si>
  <si>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</si>
  <si>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</si>
  <si>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</si>
  <si>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</si>
  <si>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</si>
  <si>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</si>
  <si>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</si>
  <si>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</si>
  <si>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</si>
  <si>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</si>
  <si>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</si>
  <si>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</si>
  <si>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</si>
  <si>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</si>
  <si>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</si>
  <si>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</si>
  <si>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</si>
  <si>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</si>
  <si>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</si>
  <si>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</si>
  <si>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</si>
  <si>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</si>
  <si>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</si>
  <si>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</si>
  <si>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</si>
  <si>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</si>
  <si>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</si>
  <si>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</si>
  <si>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</si>
  <si>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</si>
  <si>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</si>
  <si>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</si>
  <si>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</si>
  <si>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</si>
  <si>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</si>
  <si>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</si>
  <si>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</si>
  <si>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</si>
  <si>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</si>
  <si>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</si>
  <si>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</si>
  <si>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</si>
  <si>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</si>
  <si>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</si>
  <si>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</si>
  <si>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</si>
  <si>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</si>
  <si>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</si>
  <si>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</si>
  <si>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</si>
  <si>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</si>
  <si>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</si>
  <si>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</si>
  <si>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</si>
  <si>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</si>
  <si>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</si>
  <si>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</si>
  <si>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</si>
  <si>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</si>
  <si>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</si>
  <si>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</si>
  <si>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</si>
  <si>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</si>
  <si>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</si>
  <si>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</si>
  <si>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</si>
  <si>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</si>
  <si>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</si>
  <si>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</si>
  <si>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</si>
  <si>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</si>
  <si>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</si>
  <si>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</si>
  <si>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</si>
  <si>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</si>
  <si>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</si>
  <si>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</si>
  <si>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</si>
  <si>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</si>
  <si>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</si>
  <si>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</si>
  <si>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</si>
  <si>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</si>
  <si>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</si>
  <si>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</si>
  <si>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</si>
  <si>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</si>
  <si>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</si>
  <si>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</si>
  <si>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</si>
  <si>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</si>
  <si>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</si>
  <si>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</si>
  <si>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</si>
  <si>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</si>
  <si>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</si>
  <si>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</si>
  <si>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</si>
  <si>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</si>
  <si>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</si>
  <si>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</si>
  <si>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</si>
  <si>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</si>
  <si>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</si>
  <si>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</si>
  <si>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</si>
  <si>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</si>
  <si>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</si>
  <si>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</si>
  <si>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</si>
  <si>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</si>
  <si>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</si>
  <si>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</si>
  <si>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</si>
  <si>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</si>
  <si>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</si>
  <si>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</si>
  <si>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</si>
  <si>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</si>
  <si>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</si>
  <si>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</si>
  <si>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</si>
  <si>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</si>
  <si>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</si>
  <si>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</si>
  <si>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</si>
  <si>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</si>
  <si>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</si>
  <si>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</si>
  <si>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</si>
  <si>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</si>
  <si>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</si>
  <si>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</si>
  <si>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</si>
  <si>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</si>
  <si>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</si>
  <si>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</si>
  <si>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</si>
  <si>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</si>
  <si>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</si>
  <si>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</si>
  <si>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</si>
  <si>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</si>
  <si>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</si>
  <si>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</si>
  <si>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</si>
  <si>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</si>
  <si>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</si>
  <si>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</si>
  <si>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</si>
  <si>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</si>
  <si>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</si>
  <si>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</si>
  <si>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</si>
  <si>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</si>
  <si>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</si>
  <si>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</si>
  <si>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</si>
  <si>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</si>
  <si>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</si>
  <si>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</si>
  <si>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</si>
  <si>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</si>
  <si>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</si>
  <si>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</si>
  <si>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</si>
  <si>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</si>
  <si>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</si>
  <si>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</si>
  <si>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</si>
  <si>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</si>
  <si>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</si>
  <si>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</si>
  <si>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</si>
  <si>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</si>
  <si>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</si>
  <si>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</si>
  <si>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</si>
  <si>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</si>
  <si>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</si>
  <si>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</si>
  <si>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</si>
  <si>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</si>
  <si>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</si>
  <si>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</si>
  <si>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</si>
  <si>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</si>
  <si>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</si>
  <si>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</si>
  <si>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</si>
  <si>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</si>
  <si>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</si>
  <si>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</si>
  <si>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</si>
  <si>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</si>
  <si>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</si>
  <si>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</si>
  <si>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</si>
  <si>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</si>
  <si>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</si>
  <si>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</si>
  <si>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</si>
  <si>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</si>
  <si>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</si>
  <si>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</si>
  <si>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</si>
  <si>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</si>
  <si>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</si>
  <si>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</si>
  <si>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</si>
  <si>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</si>
  <si>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</si>
  <si>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</si>
  <si>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</si>
  <si>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</si>
  <si>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</si>
  <si>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</si>
  <si>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</si>
  <si>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</si>
  <si>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</si>
  <si>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</si>
  <si>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</si>
  <si>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</si>
  <si>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</si>
  <si>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</si>
  <si>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</si>
  <si>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</si>
  <si>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</si>
  <si>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</si>
  <si>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</si>
  <si>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</si>
  <si>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</si>
  <si>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</si>
  <si>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</si>
  <si>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</si>
  <si>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</si>
  <si>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</si>
  <si>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</si>
  <si>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</si>
  <si>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</si>
  <si>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</si>
  <si>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</si>
  <si>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</si>
  <si>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</si>
  <si>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</si>
  <si>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</si>
  <si>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</si>
  <si>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</si>
  <si>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</si>
  <si>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</si>
  <si>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</si>
  <si>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</si>
  <si>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</si>
  <si>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</si>
  <si>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</si>
  <si>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</si>
  <si>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</si>
  <si>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</si>
  <si>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</si>
  <si>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</si>
  <si>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</si>
  <si>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</si>
  <si>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</si>
  <si>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</si>
  <si>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</si>
  <si>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</si>
  <si>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</si>
  <si>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</si>
  <si>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</si>
  <si>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</si>
  <si>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</si>
  <si>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</si>
  <si>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</si>
  <si>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</si>
  <si>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</si>
  <si>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</si>
  <si>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</si>
  <si>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</si>
  <si>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</si>
  <si>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</si>
  <si>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</si>
  <si>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</si>
  <si>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</si>
  <si>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</si>
  <si>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</si>
  <si>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</si>
  <si>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</si>
  <si>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</si>
  <si>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</si>
  <si>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</si>
  <si>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</si>
  <si>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</si>
  <si>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</si>
  <si>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</si>
  <si>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</si>
  <si>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</si>
  <si>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</si>
  <si>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</si>
  <si>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</si>
  <si>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</si>
  <si>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</si>
  <si>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</si>
  <si>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</si>
  <si>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</si>
  <si>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</si>
  <si>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</si>
  <si>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</si>
  <si>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</si>
  <si>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</si>
  <si>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</si>
  <si>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</si>
  <si>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</si>
  <si>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</si>
  <si>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</si>
  <si>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</si>
  <si>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</si>
  <si>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</si>
  <si>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</si>
  <si>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</si>
  <si>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</si>
  <si>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</si>
  <si>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</si>
  <si>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</si>
  <si>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</si>
  <si>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</si>
  <si>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</si>
  <si>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</si>
  <si>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</si>
  <si>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</si>
  <si>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</si>
  <si>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</si>
  <si>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</si>
  <si>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</si>
  <si>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</si>
  <si>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</si>
  <si>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</si>
  <si>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</si>
  <si>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</si>
  <si>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</si>
  <si>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</si>
  <si>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</si>
  <si>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</si>
  <si>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</si>
  <si>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</si>
  <si>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</si>
  <si>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</si>
  <si>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</si>
  <si>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</si>
  <si>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</si>
  <si>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</si>
  <si>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</si>
  <si>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</si>
  <si>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</si>
  <si>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</si>
  <si>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</si>
  <si>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</si>
  <si>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</si>
  <si>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</si>
  <si>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</si>
  <si>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</si>
  <si>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</si>
  <si>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</si>
  <si>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</si>
  <si>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</si>
  <si>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</si>
  <si>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</si>
  <si>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</si>
  <si>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</si>
  <si>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</si>
  <si>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</si>
  <si>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</si>
  <si>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</si>
  <si>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</si>
  <si>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</si>
  <si>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</si>
  <si>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</si>
  <si>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</si>
  <si>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</si>
  <si>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</si>
  <si>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</si>
  <si>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</si>
  <si>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</si>
  <si>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</si>
  <si>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</si>
  <si>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</si>
  <si>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</si>
  <si>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</si>
  <si>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</si>
  <si>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</si>
  <si>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</si>
  <si>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</si>
  <si>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</si>
  <si>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</si>
  <si>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</si>
  <si>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</si>
  <si>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</si>
  <si>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</si>
  <si>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</si>
  <si>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</si>
  <si>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</si>
  <si>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</si>
  <si>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</si>
  <si>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</si>
  <si>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</si>
  <si>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</si>
  <si>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</si>
  <si>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</si>
  <si>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</si>
  <si>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</si>
  <si>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</si>
  <si>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</si>
  <si>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</si>
  <si>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</si>
  <si>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</si>
  <si>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</si>
  <si>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</si>
  <si>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</si>
  <si>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</si>
  <si>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</si>
  <si>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</si>
  <si>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</si>
  <si>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</si>
  <si>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</si>
  <si>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</si>
  <si>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</si>
  <si>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</si>
  <si>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</si>
  <si>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</si>
  <si>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</si>
  <si>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</si>
  <si>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</si>
  <si>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</si>
  <si>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</si>
  <si>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</si>
  <si>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</si>
  <si>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</si>
  <si>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</si>
  <si>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</si>
  <si>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</si>
  <si>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</si>
  <si>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</si>
  <si>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</si>
  <si>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</si>
  <si>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</si>
  <si>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</si>
  <si>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</si>
  <si>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</si>
  <si>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</si>
  <si>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</si>
  <si>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</si>
  <si>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</si>
  <si>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</si>
  <si>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</si>
  <si>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</si>
  <si>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</si>
  <si>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</si>
  <si>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</si>
  <si>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</si>
  <si>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</si>
  <si>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</si>
  <si>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</si>
  <si>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</si>
  <si>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</si>
  <si>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</si>
  <si>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</si>
  <si>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</si>
  <si>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</si>
  <si>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</si>
  <si>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</si>
  <si>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</si>
  <si>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</si>
  <si>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</si>
  <si>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</si>
  <si>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</si>
  <si>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</si>
  <si>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</si>
  <si>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</si>
  <si>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</si>
  <si>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</si>
  <si>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</si>
  <si>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</si>
  <si>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</si>
  <si>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</si>
  <si>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</si>
  <si>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</si>
  <si>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</si>
  <si>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</si>
  <si>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</si>
  <si>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</si>
  <si>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</si>
  <si>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</si>
  <si>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</si>
  <si>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</si>
  <si>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</si>
  <si>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</si>
  <si>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</si>
  <si>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</si>
  <si>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</si>
  <si>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</si>
  <si>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</si>
  <si>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</si>
  <si>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</si>
  <si>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</si>
  <si>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</si>
  <si>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</si>
  <si>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</si>
  <si>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</si>
  <si>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</si>
  <si>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</si>
  <si>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</si>
  <si>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</si>
  <si>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</si>
  <si>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</si>
  <si>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</si>
  <si>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</si>
  <si>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</si>
  <si>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</si>
  <si>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</si>
  <si>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</si>
  <si>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</si>
  <si>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</si>
  <si>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</si>
  <si>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</si>
  <si>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</si>
  <si>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</si>
  <si>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</si>
  <si>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</si>
  <si>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</si>
  <si>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</si>
  <si>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</si>
  <si>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</si>
  <si>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</si>
  <si>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</si>
  <si>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</si>
  <si>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</si>
  <si>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</si>
  <si>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</si>
  <si>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</si>
  <si>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</si>
  <si>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</si>
  <si>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</si>
  <si>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</si>
  <si>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</si>
  <si>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</si>
  <si>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</si>
  <si>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</si>
  <si>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</si>
  <si>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</si>
  <si>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</si>
  <si>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</si>
  <si>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</si>
  <si>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</si>
  <si>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</si>
  <si>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</si>
  <si>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</si>
  <si>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</si>
  <si>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</si>
  <si>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</si>
  <si>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</si>
  <si>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</si>
  <si>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</si>
  <si>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</si>
  <si>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</si>
  <si>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</si>
  <si>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</si>
  <si>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</si>
  <si>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</si>
  <si>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</si>
  <si>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</si>
  <si>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</si>
  <si>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</si>
  <si>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</si>
  <si>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</si>
  <si>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</si>
  <si>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</si>
  <si>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</si>
  <si>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</si>
  <si>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</si>
  <si>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</si>
  <si>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</si>
  <si>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</si>
  <si>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</si>
  <si>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</si>
  <si>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</si>
  <si>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</si>
  <si>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</si>
  <si>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</si>
  <si>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</si>
  <si>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</si>
  <si>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</si>
  <si>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</si>
  <si>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</si>
  <si>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</si>
  <si>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</si>
  <si>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</si>
  <si>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</si>
  <si>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</si>
  <si>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</si>
  <si>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</si>
  <si>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</si>
  <si>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</si>
  <si>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</si>
  <si>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</si>
  <si>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</si>
  <si>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</si>
  <si>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</si>
  <si>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</si>
  <si>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</si>
  <si>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</si>
  <si>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</si>
  <si>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</si>
  <si>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</si>
  <si>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</si>
  <si>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</si>
  <si>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</si>
  <si>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</si>
  <si>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</si>
  <si>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</si>
  <si>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</si>
  <si>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</si>
  <si>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</si>
  <si>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</si>
  <si>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</si>
  <si>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</si>
  <si>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</si>
  <si>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</si>
  <si>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</si>
  <si>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</si>
  <si>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</si>
  <si>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</si>
  <si>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</si>
  <si>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</si>
  <si>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</si>
  <si>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</si>
  <si>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</si>
  <si>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</si>
  <si>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</si>
  <si>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</si>
  <si>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</si>
  <si>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</si>
  <si>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</si>
  <si>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</si>
  <si>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</si>
  <si>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</si>
  <si>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</si>
  <si>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</si>
  <si>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</si>
  <si>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</si>
  <si>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</si>
  <si>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</si>
  <si>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</si>
  <si>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</si>
  <si>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</si>
  <si>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</si>
  <si>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</si>
  <si>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</si>
  <si>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</si>
  <si>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</si>
  <si>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</si>
  <si>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</si>
  <si>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</si>
  <si>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</si>
  <si>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</si>
  <si>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</si>
  <si>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</si>
  <si>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</si>
  <si>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</si>
  <si>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</si>
  <si>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</si>
  <si>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</si>
  <si>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</si>
  <si>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</si>
  <si>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</si>
  <si>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</si>
  <si>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</si>
  <si>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</si>
  <si>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</si>
  <si>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</si>
  <si>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</si>
  <si>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</si>
  <si>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</si>
  <si>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</si>
  <si>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</si>
  <si>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</si>
  <si>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</si>
  <si>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</si>
  <si>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</si>
  <si>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</si>
  <si>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</si>
  <si>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</si>
  <si>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</si>
  <si>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</si>
  <si>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</si>
  <si>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</si>
  <si>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</si>
  <si>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</si>
  <si>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</si>
  <si>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</si>
  <si>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</si>
  <si>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</si>
  <si>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</si>
  <si>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</si>
  <si>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</si>
  <si>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</si>
  <si>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</si>
  <si>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</si>
  <si>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</si>
  <si>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</si>
  <si>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</si>
  <si>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</si>
  <si>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</si>
  <si>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</si>
  <si>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</si>
  <si>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</si>
  <si>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</si>
  <si>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</si>
  <si>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</si>
  <si>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</si>
  <si>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</si>
  <si>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</si>
  <si>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</si>
  <si>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</si>
  <si>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</si>
  <si>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</si>
  <si>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</si>
  <si>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</si>
  <si>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</si>
  <si>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</si>
  <si>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</si>
  <si>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</si>
  <si>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</si>
  <si>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</si>
  <si>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</si>
  <si>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</si>
  <si>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</si>
  <si>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</si>
  <si>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</si>
  <si>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</si>
  <si>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</si>
  <si>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</si>
  <si>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</si>
  <si>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</si>
  <si>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</si>
  <si>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</si>
  <si>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</si>
  <si>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</si>
  <si>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</si>
  <si>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</si>
  <si>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</si>
  <si>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</si>
  <si>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</si>
  <si>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</si>
  <si>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</si>
  <si>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</si>
  <si>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</si>
  <si>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</si>
  <si>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</si>
  <si>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</si>
  <si>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</si>
  <si>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</si>
  <si>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</si>
  <si>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</si>
  <si>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</si>
  <si>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</si>
  <si>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</si>
  <si>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</si>
  <si>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</si>
  <si>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</si>
  <si>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</si>
  <si>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</si>
  <si>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</si>
  <si>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</si>
  <si>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</si>
  <si>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</si>
  <si>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</si>
  <si>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</si>
  <si>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</si>
  <si>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</si>
  <si>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</si>
  <si>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</si>
  <si>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</si>
  <si>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</si>
  <si>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</si>
  <si>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</si>
  <si>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</si>
  <si>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</si>
  <si>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</si>
  <si>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</si>
  <si>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</si>
  <si>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</si>
  <si>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</si>
  <si>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</si>
  <si>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</si>
  <si>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</si>
  <si>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</si>
  <si>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</si>
  <si>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</si>
  <si>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</si>
  <si>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</si>
  <si>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</si>
  <si>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</si>
  <si>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</si>
  <si>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</si>
  <si>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</si>
  <si>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</si>
  <si>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</si>
  <si>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</si>
  <si>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</si>
  <si>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</si>
  <si>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</si>
  <si>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</si>
  <si>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</si>
  <si>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</si>
  <si>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</si>
  <si>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</si>
  <si>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</si>
  <si>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</si>
  <si>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</si>
  <si>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</si>
  <si>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</si>
  <si>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</si>
  <si>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</si>
  <si>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</si>
  <si>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</si>
  <si>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</si>
  <si>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</si>
  <si>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</si>
  <si>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</si>
  <si>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</si>
  <si>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</si>
  <si>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</si>
  <si>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</si>
  <si>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</si>
  <si>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</si>
  <si>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</si>
  <si>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</si>
  <si>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</si>
  <si>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</si>
  <si>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</si>
  <si>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</si>
  <si>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</si>
  <si>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</si>
  <si>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</si>
  <si>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</si>
  <si>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</si>
  <si>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</si>
  <si>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</si>
  <si>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</si>
  <si>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</si>
  <si>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</si>
  <si>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</si>
  <si>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</si>
  <si>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</si>
  <si>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</si>
  <si>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</si>
  <si>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</si>
  <si>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</si>
  <si>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</si>
  <si>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</si>
  <si>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</si>
  <si>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</si>
  <si>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</si>
  <si>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</si>
  <si>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</si>
  <si>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</si>
  <si>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</si>
  <si>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</si>
  <si>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</si>
  <si>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</si>
  <si>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</si>
  <si>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</si>
  <si>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</si>
  <si>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</si>
  <si>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</si>
  <si>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</si>
  <si>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</si>
  <si>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</si>
  <si>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</si>
  <si>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</si>
  <si>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</si>
  <si>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</si>
  <si>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</si>
  <si>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</si>
  <si>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</si>
  <si>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</si>
  <si>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</si>
  <si>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</si>
  <si>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</si>
  <si>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</si>
  <si>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</si>
  <si>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</si>
  <si>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</si>
  <si>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</si>
  <si>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</si>
  <si>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</si>
  <si>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</si>
  <si>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</si>
  <si>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</si>
  <si>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</si>
  <si>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</si>
  <si>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</si>
  <si>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</si>
  <si>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</si>
  <si>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</si>
  <si>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</si>
  <si>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</si>
  <si>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</si>
  <si>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</si>
  <si>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</si>
  <si>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</si>
  <si>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</si>
  <si>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</si>
  <si>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</si>
  <si>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</si>
  <si>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</si>
  <si>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</si>
  <si>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</si>
  <si>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</si>
  <si>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</si>
  <si>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</si>
  <si>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</si>
  <si>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</si>
  <si>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</si>
  <si>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</si>
  <si>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</si>
  <si>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</si>
  <si>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</si>
  <si>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</si>
  <si>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</si>
  <si>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</si>
  <si>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</si>
  <si>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</si>
  <si>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</si>
  <si>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</si>
  <si>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</si>
  <si>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</si>
  <si>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</si>
  <si>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</si>
  <si>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</si>
  <si>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</si>
  <si>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</si>
  <si>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</si>
  <si>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</si>
  <si>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</si>
  <si>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</si>
  <si>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</si>
  <si>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</si>
  <si>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</si>
  <si>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</si>
  <si>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</si>
  <si>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</si>
  <si>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</si>
  <si>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</si>
  <si>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</si>
  <si>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</si>
  <si>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</si>
  <si>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</si>
  <si>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</si>
  <si>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</si>
  <si>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</si>
  <si>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</si>
  <si>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</si>
  <si>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</si>
  <si>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</si>
  <si>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</si>
  <si>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</si>
  <si>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</si>
  <si>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</si>
  <si>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</si>
  <si>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</si>
  <si>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</si>
  <si>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</si>
  <si>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</si>
  <si>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</si>
  <si>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</si>
  <si>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</si>
  <si>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</si>
  <si>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</si>
  <si>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</si>
  <si>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</si>
  <si>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</si>
  <si>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</si>
  <si>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</si>
  <si>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</si>
  <si>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</si>
  <si>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</si>
  <si>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</si>
  <si>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</si>
  <si>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</si>
  <si>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</si>
  <si>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</si>
  <si>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</si>
  <si>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</si>
  <si>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</si>
  <si>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</si>
  <si>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</si>
  <si>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</si>
  <si>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</si>
  <si>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</si>
  <si>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</si>
  <si>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</si>
  <si>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</si>
  <si>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</si>
  <si>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</si>
  <si>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</si>
  <si>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</si>
  <si>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</si>
  <si>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</si>
  <si>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</si>
  <si>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</si>
  <si>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</si>
  <si>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</si>
  <si>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</si>
  <si>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</si>
  <si>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</si>
  <si>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</si>
  <si>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</si>
  <si>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</si>
  <si>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</si>
  <si>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</si>
  <si>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</si>
  <si>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</si>
  <si>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</si>
  <si>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</si>
  <si>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</si>
  <si>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</si>
  <si>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</si>
  <si>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</si>
  <si>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</si>
  <si>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</si>
  <si>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</si>
  <si>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</si>
  <si>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</si>
  <si>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</si>
  <si>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</si>
  <si>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</si>
  <si>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</si>
  <si>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</si>
  <si>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</si>
  <si>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</si>
  <si>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</si>
  <si>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</si>
  <si>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</si>
  <si>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</si>
  <si>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</si>
  <si>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</si>
  <si>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</si>
  <si>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</si>
  <si>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</si>
  <si>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</si>
  <si>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</si>
  <si>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</si>
  <si>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</si>
  <si>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</si>
  <si>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</si>
  <si>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</si>
  <si>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</si>
  <si>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</si>
  <si>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</si>
  <si>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</si>
  <si>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</si>
  <si>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</si>
  <si>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</si>
  <si>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</si>
  <si>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</si>
  <si>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</si>
  <si>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</si>
  <si>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</si>
  <si>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</si>
  <si>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</si>
  <si>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</si>
  <si>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</si>
  <si>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</si>
  <si>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</si>
  <si>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</si>
  <si>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</si>
  <si>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</si>
  <si>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</si>
  <si>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</si>
  <si>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</si>
  <si>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</si>
  <si>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</si>
  <si>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</si>
  <si>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</si>
  <si>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</si>
  <si>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</si>
  <si>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</si>
  <si>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</si>
  <si>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</si>
  <si>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</si>
  <si>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</si>
  <si>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</si>
  <si>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</si>
  <si>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</si>
  <si>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</si>
  <si>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</si>
  <si>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</si>
  <si>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</si>
  <si>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</si>
  <si>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</si>
  <si>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</si>
  <si>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</si>
  <si>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</si>
  <si>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</si>
  <si>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</si>
  <si>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</si>
  <si>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</si>
  <si>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</si>
  <si>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</si>
  <si>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</si>
  <si>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</si>
  <si>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</si>
  <si>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</si>
  <si>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</si>
  <si>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</si>
  <si>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</si>
  <si>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</si>
  <si>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</si>
  <si>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</si>
  <si>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</si>
  <si>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</si>
  <si>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</si>
  <si>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</si>
  <si>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</si>
  <si>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</si>
  <si>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</si>
  <si>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</si>
  <si>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</si>
  <si>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</si>
  <si>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</si>
  <si>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</si>
  <si>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</si>
  <si>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</si>
  <si>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</si>
  <si>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</si>
  <si>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</si>
  <si>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</si>
  <si>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</si>
  <si>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</si>
  <si>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</si>
  <si>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</si>
  <si>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</si>
  <si>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</si>
  <si>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</si>
  <si>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</si>
  <si>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</si>
  <si>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</si>
  <si>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</si>
  <si>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</si>
  <si>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</si>
  <si>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</si>
  <si>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</si>
  <si>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</si>
  <si>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</si>
  <si>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</si>
  <si>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</si>
  <si>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</si>
  <si>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</si>
  <si>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</si>
  <si>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</si>
  <si>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</si>
  <si>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</si>
  <si>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</si>
  <si>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</si>
  <si>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</si>
  <si>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</si>
  <si>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</si>
  <si>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</si>
  <si>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</si>
  <si>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</si>
  <si>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</si>
  <si>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</si>
  <si>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</si>
  <si>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</si>
  <si>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</si>
  <si>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</si>
  <si>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</si>
  <si>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</si>
  <si>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</si>
  <si>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</si>
  <si>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</si>
  <si>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</si>
  <si>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</si>
  <si>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</si>
  <si>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</si>
  <si>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</si>
  <si>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</si>
  <si>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</si>
  <si>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</si>
  <si>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</si>
  <si>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</si>
  <si>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</si>
  <si>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</si>
  <si>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</si>
  <si>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</si>
  <si>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</si>
  <si>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</si>
  <si>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</si>
  <si>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</si>
  <si>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</si>
  <si>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</si>
  <si>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</si>
  <si>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</si>
  <si>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</si>
  <si>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</si>
  <si>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</si>
  <si>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</si>
  <si>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</si>
  <si>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</si>
  <si>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</si>
  <si>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</si>
  <si>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</si>
  <si>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</si>
  <si>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</si>
  <si>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</si>
  <si>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</si>
  <si>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</si>
  <si>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</si>
  <si>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</si>
  <si>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</si>
  <si>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</si>
  <si>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</si>
  <si>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</si>
  <si>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</si>
  <si>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</si>
  <si>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</si>
  <si>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</si>
  <si>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</si>
  <si>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</si>
  <si>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</si>
  <si>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</si>
  <si>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</si>
  <si>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</si>
  <si>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</si>
  <si>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</si>
  <si>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</si>
  <si>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</si>
  <si>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</si>
  <si>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</si>
  <si>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</si>
  <si>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</si>
  <si>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</si>
  <si>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</si>
  <si>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</si>
  <si>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</si>
  <si>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</si>
  <si>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</si>
  <si>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</si>
  <si>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</si>
  <si>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</si>
  <si>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</si>
  <si>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</si>
  <si>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</si>
  <si>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</si>
  <si>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</si>
  <si>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</si>
  <si>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</si>
  <si>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</si>
  <si>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</si>
  <si>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</si>
  <si>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</si>
  <si>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</si>
  <si>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</si>
  <si>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</si>
  <si>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</si>
  <si>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</si>
  <si>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</si>
  <si>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</si>
  <si>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</si>
  <si>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</si>
  <si>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</si>
  <si>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</si>
  <si>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</si>
  <si>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</si>
  <si>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</si>
  <si>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</si>
  <si>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</si>
  <si>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</si>
  <si>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</si>
  <si>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</si>
  <si>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</si>
  <si>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</si>
  <si>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</si>
  <si>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</si>
  <si>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</si>
  <si>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</si>
  <si>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</si>
  <si>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</si>
  <si>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</si>
  <si>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</si>
  <si>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</si>
  <si>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</si>
  <si>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</si>
  <si>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</si>
  <si>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</si>
  <si>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</si>
  <si>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</si>
  <si>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</si>
  <si>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</si>
  <si>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</si>
  <si>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</si>
  <si>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</si>
  <si>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</si>
  <si>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</si>
  <si>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</si>
  <si>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</si>
  <si>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</si>
  <si>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</si>
  <si>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</si>
  <si>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</si>
  <si>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</si>
  <si>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</si>
  <si>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</si>
  <si>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</si>
  <si>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</si>
  <si>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</si>
  <si>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</si>
  <si>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</si>
  <si>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</si>
  <si>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</si>
  <si>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</si>
  <si>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</si>
  <si>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</si>
  <si>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</si>
  <si>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</si>
  <si>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</si>
  <si>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</si>
  <si>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</si>
  <si>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</si>
  <si>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</si>
  <si>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</si>
  <si>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</si>
  <si>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</si>
  <si>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</si>
  <si>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</si>
  <si>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</si>
  <si>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</si>
  <si>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</si>
  <si>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</si>
  <si>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</si>
  <si>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</si>
  <si>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</si>
  <si>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</si>
  <si>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</si>
  <si>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</si>
  <si>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</si>
  <si>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</si>
  <si>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</si>
  <si>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</si>
  <si>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</si>
  <si>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</si>
  <si>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</si>
  <si>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</si>
  <si>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</si>
  <si>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</si>
  <si>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</si>
  <si>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</si>
  <si>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</si>
  <si>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</si>
  <si>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</si>
  <si>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</si>
  <si>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</si>
  <si>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</si>
  <si>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</si>
  <si>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</si>
  <si>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</si>
  <si>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</si>
  <si>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</si>
  <si>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</si>
  <si>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</si>
  <si>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</si>
  <si>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</si>
  <si>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</si>
  <si>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</si>
  <si>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</si>
  <si>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</si>
  <si>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</si>
  <si>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</si>
  <si>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</si>
  <si>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</si>
  <si>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</si>
  <si>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</si>
  <si>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</si>
  <si>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</si>
  <si>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</si>
  <si>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</si>
  <si>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</si>
  <si>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</si>
  <si>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</si>
  <si>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</si>
  <si>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</si>
  <si>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</si>
  <si>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</si>
  <si>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</si>
  <si>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</si>
  <si>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</si>
  <si>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</si>
  <si>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</si>
  <si>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</si>
  <si>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</si>
  <si>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</si>
  <si>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</si>
  <si>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</si>
  <si>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</si>
  <si>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</si>
  <si>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</si>
  <si>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</si>
  <si>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</si>
  <si>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</si>
  <si>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</si>
  <si>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</si>
  <si>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</si>
  <si>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</si>
  <si>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</si>
  <si>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</si>
  <si>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</si>
  <si>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</si>
  <si>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</si>
  <si>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</si>
  <si>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</si>
  <si>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</si>
  <si>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</si>
  <si>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</si>
  <si>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</si>
  <si>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</si>
  <si>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</si>
  <si>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</si>
  <si>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</si>
  <si>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</si>
  <si>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</si>
  <si>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</si>
  <si>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</si>
  <si>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</si>
  <si>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</si>
  <si>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</si>
  <si>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</si>
  <si>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</si>
  <si>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</si>
  <si>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</si>
  <si>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</si>
  <si>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</si>
  <si>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</si>
  <si>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</si>
  <si>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</si>
  <si>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</si>
  <si>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</si>
  <si>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</si>
  <si>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</si>
  <si>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</si>
  <si>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</si>
  <si>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</si>
  <si>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</si>
  <si>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</si>
  <si>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</si>
  <si>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</si>
  <si>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</si>
  <si>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</si>
  <si>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</si>
  <si>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</si>
  <si>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</si>
  <si>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</si>
  <si>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</si>
  <si>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</si>
  <si>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</si>
  <si>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</si>
  <si>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</si>
  <si>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</si>
  <si>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</si>
  <si>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</si>
  <si>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</si>
  <si>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</si>
  <si>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</si>
  <si>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</si>
  <si>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</si>
  <si>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</si>
  <si>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</si>
  <si>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</si>
  <si>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</si>
  <si>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</si>
  <si>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</si>
  <si>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</si>
  <si>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</si>
  <si>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</si>
  <si>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</si>
  <si>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</si>
  <si>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</si>
  <si>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</si>
  <si>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</si>
  <si>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</si>
  <si>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</si>
  <si>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</si>
  <si>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</si>
  <si>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</si>
  <si>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</si>
  <si>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</si>
  <si>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</si>
  <si>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</si>
  <si>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</si>
  <si>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</si>
  <si>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</si>
  <si>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</si>
  <si>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</si>
  <si>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</si>
  <si>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</si>
  <si>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</si>
  <si>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</si>
  <si>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</si>
  <si>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</si>
  <si>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</si>
  <si>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</si>
  <si>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</si>
  <si>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</si>
  <si>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</si>
  <si>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</si>
  <si>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</si>
  <si>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</si>
  <si>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</si>
  <si>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</si>
  <si>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</si>
  <si>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</si>
  <si>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</si>
  <si>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</si>
  <si>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</si>
  <si>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</si>
  <si>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</si>
  <si>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</si>
  <si>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</si>
  <si>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</si>
  <si>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</si>
  <si>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</si>
  <si>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</si>
  <si>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</si>
  <si>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</si>
  <si>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</si>
  <si>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</si>
  <si>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</si>
  <si>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</si>
  <si>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</si>
  <si>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</si>
  <si>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</si>
  <si>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</si>
  <si>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</si>
  <si>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</si>
  <si>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</si>
  <si>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</si>
  <si>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</si>
  <si>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</si>
  <si>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</si>
  <si>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</si>
  <si>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</si>
  <si>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</si>
  <si>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</si>
  <si>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</si>
  <si>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</si>
  <si>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</si>
  <si>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</si>
  <si>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</si>
  <si>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</si>
  <si>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</si>
  <si>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</si>
  <si>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</si>
  <si>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</si>
  <si>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</si>
  <si>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</si>
  <si>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</si>
  <si>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</si>
  <si>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</si>
  <si>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</si>
  <si>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</si>
  <si>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</si>
  <si>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</si>
  <si>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</si>
  <si>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</si>
  <si>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</si>
  <si>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</si>
  <si>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</si>
  <si>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</si>
  <si>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</si>
  <si>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</si>
  <si>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</si>
  <si>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</si>
  <si>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</si>
  <si>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</si>
  <si>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</si>
  <si>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</si>
  <si>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</si>
  <si>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</si>
  <si>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</si>
  <si>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</si>
  <si>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</si>
  <si>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</si>
  <si>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</si>
  <si>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</si>
  <si>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</si>
  <si>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</si>
  <si>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</si>
  <si>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</si>
  <si>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</si>
  <si>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</si>
  <si>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</si>
  <si>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</si>
  <si>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</si>
  <si>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</si>
  <si>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</si>
  <si>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</si>
  <si>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</si>
  <si>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</si>
  <si>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</si>
  <si>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</si>
  <si>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</si>
  <si>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</si>
  <si>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</si>
  <si>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</si>
  <si>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</si>
  <si>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</si>
  <si>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</si>
  <si>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</si>
  <si>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</si>
  <si>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</si>
  <si>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</si>
  <si>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</si>
  <si>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</si>
  <si>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</si>
  <si>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</si>
  <si>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</si>
  <si>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</si>
  <si>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</si>
  <si>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</si>
  <si>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</si>
  <si>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</si>
  <si>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</si>
  <si>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</si>
  <si>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</si>
  <si>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</si>
  <si>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</si>
  <si>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</si>
  <si>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</si>
  <si>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</si>
  <si>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</si>
  <si>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</si>
  <si>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</si>
  <si>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</si>
  <si>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</si>
  <si>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</si>
  <si>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</si>
  <si>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</si>
  <si>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</si>
  <si>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</si>
  <si>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</si>
  <si>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</si>
  <si>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</si>
  <si>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</si>
  <si>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</si>
  <si>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</si>
  <si>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</si>
  <si>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</si>
  <si>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</si>
  <si>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</si>
  <si>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</si>
  <si>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</si>
  <si>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</si>
  <si>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</si>
  <si>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</si>
  <si>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</si>
  <si>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</si>
  <si>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</si>
  <si>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</si>
  <si>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</si>
  <si>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</si>
  <si>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</si>
  <si>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</si>
  <si>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</si>
  <si>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</si>
  <si>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</si>
  <si>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</si>
  <si>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</si>
  <si>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</si>
  <si>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</si>
  <si>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</si>
  <si>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</si>
  <si>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</si>
  <si>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</si>
  <si>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</si>
  <si>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</si>
  <si>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</si>
  <si>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</si>
  <si>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</si>
  <si>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</si>
  <si>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</si>
  <si>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</si>
  <si>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</si>
  <si>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</si>
  <si>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</si>
  <si>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</si>
  <si>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</si>
  <si>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</si>
  <si>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</si>
  <si>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</si>
  <si>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</si>
  <si>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</si>
  <si>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</si>
  <si>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</si>
  <si>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</si>
  <si>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</si>
  <si>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</si>
  <si>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</si>
  <si>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</si>
  <si>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</si>
  <si>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</si>
  <si>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</si>
  <si>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</si>
  <si>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</si>
  <si>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</si>
  <si>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</si>
  <si>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</si>
  <si>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</si>
  <si>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</si>
  <si>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</si>
  <si>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</si>
  <si>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</si>
  <si>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</si>
  <si>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</si>
  <si>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</si>
  <si>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</si>
  <si>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</si>
  <si>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</si>
  <si>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</si>
  <si>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</si>
  <si>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</si>
  <si>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</si>
  <si>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</si>
  <si>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</si>
  <si>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</si>
  <si>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</si>
  <si>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</si>
  <si>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</si>
  <si>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</si>
  <si>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</si>
  <si>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</si>
  <si>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</si>
  <si>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</si>
  <si>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</si>
  <si>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</si>
  <si>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</si>
  <si>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</si>
  <si>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</si>
  <si>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</si>
  <si>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</si>
  <si>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</si>
  <si>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</si>
  <si>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</si>
  <si>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</si>
  <si>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</si>
  <si>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</si>
  <si>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</si>
  <si>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</si>
  <si>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</si>
  <si>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</si>
  <si>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</si>
  <si>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</si>
  <si>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</si>
  <si>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</si>
  <si>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</si>
  <si>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</si>
  <si>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</si>
  <si>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</si>
  <si>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</si>
  <si>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</si>
  <si>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</si>
  <si>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</si>
  <si>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</si>
  <si>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</si>
  <si>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</si>
  <si>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</si>
  <si>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</si>
  <si>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</si>
  <si>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</si>
  <si>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</si>
  <si>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</si>
  <si>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</si>
  <si>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</si>
  <si>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</si>
  <si>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</si>
  <si>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</si>
  <si>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</si>
  <si>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</si>
  <si>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</si>
  <si>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</si>
  <si>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</si>
  <si>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</si>
  <si>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</si>
  <si>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</si>
  <si>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</si>
  <si>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</si>
  <si>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</si>
  <si>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</si>
  <si>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</si>
  <si>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</si>
  <si>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</si>
  <si>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</si>
  <si>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</si>
  <si>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</si>
  <si>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</si>
  <si>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</si>
  <si>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</si>
  <si>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</si>
  <si>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</si>
  <si>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</si>
  <si>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</si>
  <si>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</si>
  <si>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</si>
  <si>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</si>
  <si>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</si>
  <si>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</si>
  <si>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</si>
  <si>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</si>
  <si>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</si>
  <si>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</si>
  <si>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</si>
  <si>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</si>
  <si>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</si>
  <si>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</si>
  <si>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</si>
  <si>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</si>
  <si>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</si>
  <si>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</si>
  <si>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</si>
  <si>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</si>
  <si>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</si>
  <si>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</si>
  <si>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</si>
  <si>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</si>
  <si>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</si>
  <si>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</si>
  <si>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</si>
  <si>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</si>
  <si>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</si>
  <si>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</si>
  <si>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</si>
  <si>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</si>
  <si>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</si>
  <si>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</si>
  <si>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</si>
  <si>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</si>
  <si>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</si>
  <si>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</si>
  <si>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</si>
  <si>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</si>
  <si>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</si>
  <si>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</si>
  <si>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</si>
  <si>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</si>
  <si>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</si>
  <si>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</si>
  <si>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</si>
  <si>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</si>
  <si>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</si>
  <si>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</si>
  <si>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</si>
  <si>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</si>
  <si>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</si>
  <si>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</si>
  <si>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</si>
  <si>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</si>
  <si>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</si>
  <si>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</si>
  <si>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</si>
  <si>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</si>
  <si>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</si>
  <si>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</si>
  <si>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</si>
  <si>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</si>
  <si>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</si>
  <si>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</si>
  <si>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</si>
  <si>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</si>
  <si>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</si>
  <si>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</si>
  <si>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</si>
  <si>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</si>
  <si>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</si>
  <si>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</si>
  <si>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</si>
  <si>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</si>
  <si>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</si>
  <si>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</si>
  <si>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</si>
  <si>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</si>
  <si>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</si>
  <si>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</si>
  <si>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</si>
  <si>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</si>
  <si>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</si>
  <si>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</si>
  <si>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</si>
  <si>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</si>
  <si>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</si>
  <si>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</si>
  <si>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</si>
  <si>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</si>
  <si>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</si>
  <si>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</si>
  <si>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</si>
  <si>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</si>
  <si>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</si>
  <si>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</si>
  <si>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</si>
  <si>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</si>
  <si>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</si>
  <si>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</si>
  <si>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</si>
  <si>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</si>
  <si>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</si>
  <si>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</si>
  <si>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</si>
  <si>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</si>
  <si>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</si>
  <si>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</si>
  <si>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</si>
  <si>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</si>
  <si>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</si>
  <si>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</si>
  <si>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</si>
  <si>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</si>
  <si>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</si>
  <si>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</si>
  <si>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</si>
  <si>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</si>
  <si>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</si>
  <si>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</si>
  <si>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</si>
  <si>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</si>
  <si>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</si>
  <si>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</si>
  <si>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</si>
  <si>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</si>
  <si>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</si>
  <si>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</si>
  <si>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</si>
  <si>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</si>
  <si>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</si>
  <si>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</si>
  <si>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</si>
  <si>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</si>
  <si>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</si>
  <si>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</si>
  <si>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</si>
  <si>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</si>
  <si>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</si>
  <si>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</si>
  <si>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</si>
  <si>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</si>
  <si>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</si>
  <si>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</si>
  <si>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</si>
  <si>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</si>
  <si>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</si>
  <si>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</si>
  <si>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</si>
  <si>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</si>
  <si>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</si>
  <si>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</si>
  <si>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</si>
  <si>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</si>
  <si>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</si>
  <si>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</si>
  <si>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</si>
  <si>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</si>
  <si>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</si>
  <si>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</si>
  <si>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</si>
  <si>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</si>
  <si>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</si>
  <si>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</si>
  <si>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</si>
  <si>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</si>
  <si>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</si>
  <si>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</si>
  <si>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</si>
  <si>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</si>
  <si>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</si>
  <si>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</si>
  <si>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</si>
  <si>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</si>
  <si>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</si>
  <si>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</si>
  <si>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</si>
  <si>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</si>
  <si>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</si>
  <si>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</si>
  <si>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</si>
  <si>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</si>
  <si>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</si>
  <si>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</si>
  <si>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</si>
  <si>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</si>
  <si>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</si>
  <si>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</si>
  <si>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</si>
  <si>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</si>
  <si>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</si>
  <si>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</si>
  <si>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</si>
  <si>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</si>
  <si>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</si>
  <si>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</si>
  <si>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</si>
  <si>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</si>
  <si>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</si>
  <si>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</si>
  <si>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</si>
  <si>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</si>
  <si>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</si>
  <si>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</si>
  <si>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</si>
  <si>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</si>
  <si>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</si>
  <si>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</si>
  <si>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</si>
  <si>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</si>
  <si>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</si>
  <si>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</si>
  <si>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</si>
  <si>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</si>
  <si>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</si>
  <si>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</si>
  <si>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</si>
  <si>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</si>
  <si>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</si>
  <si>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</si>
  <si>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</si>
  <si>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</si>
  <si>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</si>
  <si>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</si>
  <si>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</si>
  <si>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</si>
  <si>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</si>
  <si>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</si>
  <si>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</si>
  <si>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</si>
  <si>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</si>
  <si>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</si>
  <si>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</si>
  <si>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</si>
  <si>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</si>
  <si>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</si>
  <si>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</si>
  <si>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</si>
  <si>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</si>
  <si>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</si>
  <si>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</si>
  <si>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</si>
  <si>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</si>
  <si>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</si>
  <si>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</si>
  <si>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</si>
  <si>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</si>
  <si>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</si>
  <si>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</si>
  <si>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</si>
  <si>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</si>
  <si>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</si>
  <si>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</si>
  <si>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</si>
  <si>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</si>
  <si>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</si>
  <si>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</si>
  <si>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</si>
  <si>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</si>
  <si>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</si>
  <si>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</si>
  <si>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</si>
  <si>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</si>
  <si>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</si>
  <si>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</si>
  <si>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</si>
  <si>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</si>
  <si>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</si>
  <si>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</si>
  <si>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</si>
  <si>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</si>
  <si>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</si>
  <si>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</si>
  <si>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</si>
  <si>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</si>
  <si>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</si>
  <si>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</si>
  <si>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</si>
  <si>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</si>
  <si>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</si>
  <si>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</si>
  <si>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</si>
  <si>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</si>
  <si>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</si>
  <si>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</si>
  <si>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</si>
  <si>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</si>
  <si>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</si>
  <si>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</si>
  <si>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</si>
  <si>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</si>
  <si>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</si>
  <si>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</si>
  <si>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</si>
  <si>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</si>
  <si>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</si>
  <si>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</si>
  <si>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</si>
  <si>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</si>
  <si>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</si>
  <si>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</si>
  <si>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</si>
  <si>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</si>
  <si>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</si>
  <si>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</si>
  <si>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</si>
  <si>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</si>
  <si>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</si>
  <si>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</si>
  <si>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</si>
  <si>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</si>
  <si>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</si>
  <si>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</si>
  <si>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</si>
  <si>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</si>
  <si>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</si>
  <si>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</si>
  <si>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</si>
  <si>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</si>
  <si>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</si>
  <si>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</si>
  <si>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</si>
  <si>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</si>
  <si>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</si>
  <si>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</si>
  <si>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</si>
  <si>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</si>
  <si>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</si>
  <si>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</si>
  <si>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</si>
  <si>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</si>
  <si>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</si>
  <si>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</si>
  <si>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</si>
  <si>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</si>
  <si>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</si>
  <si>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</si>
  <si>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</si>
  <si>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</si>
  <si>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</si>
  <si>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</si>
  <si>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</si>
  <si>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</si>
  <si>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</si>
  <si>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</si>
  <si>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</si>
  <si>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</si>
  <si>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</si>
  <si>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</si>
  <si>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</si>
  <si>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</si>
  <si>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</si>
  <si>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</si>
  <si>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</si>
  <si>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</si>
  <si>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</si>
  <si>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</si>
  <si>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</si>
  <si>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</si>
  <si>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</si>
  <si>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</si>
  <si>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</si>
  <si>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</si>
  <si>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</si>
  <si>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</si>
  <si>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</si>
  <si>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</si>
  <si>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</si>
  <si>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</si>
  <si>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</si>
  <si>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</si>
  <si>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</si>
  <si>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</si>
  <si>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</si>
  <si>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</si>
  <si>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</si>
  <si>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</si>
  <si>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</si>
  <si>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</si>
  <si>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</si>
  <si>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</si>
  <si>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</si>
  <si>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</si>
  <si>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</si>
  <si>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</si>
  <si>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</si>
  <si>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</si>
  <si>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</si>
  <si>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</si>
  <si>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</si>
  <si>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</si>
  <si>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</si>
  <si>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</si>
  <si>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</si>
  <si>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</si>
  <si>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</si>
  <si>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</si>
  <si>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</si>
  <si>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</si>
  <si>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</si>
  <si>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</si>
  <si>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</si>
  <si>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</si>
  <si>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</si>
  <si>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</si>
  <si>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</si>
  <si>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</si>
  <si>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</si>
  <si>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</si>
  <si>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</si>
  <si>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</si>
  <si>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</si>
  <si>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</si>
  <si>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</si>
  <si>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</si>
  <si>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</si>
  <si>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</si>
  <si>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</si>
  <si>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</si>
  <si>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</si>
  <si>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</si>
  <si>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</si>
  <si>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</si>
  <si>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</si>
  <si>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</si>
  <si>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</si>
  <si>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</si>
  <si>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</si>
  <si>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</si>
  <si>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</si>
  <si>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</si>
  <si>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</si>
  <si>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</si>
  <si>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</si>
  <si>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</si>
  <si>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</si>
  <si>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</si>
  <si>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</si>
  <si>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</si>
  <si>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</si>
  <si>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</si>
  <si>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</si>
  <si>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</si>
  <si>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</si>
  <si>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</si>
  <si>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</si>
  <si>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</si>
  <si>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</si>
  <si>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</si>
  <si>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</si>
  <si>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</si>
  <si>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</si>
  <si>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</si>
  <si>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</si>
  <si>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</si>
  <si>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</si>
  <si>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</si>
  <si>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</si>
  <si>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</si>
  <si>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</si>
  <si>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</si>
  <si>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</si>
  <si>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</si>
  <si>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</si>
  <si>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</si>
  <si>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</si>
  <si>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</si>
  <si>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</si>
  <si>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</si>
  <si>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</si>
  <si>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</si>
  <si>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</si>
  <si>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</si>
  <si>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</si>
  <si>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</si>
  <si>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</si>
  <si>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</si>
  <si>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</si>
  <si>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</si>
  <si>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</si>
  <si>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</si>
  <si>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</si>
  <si>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</si>
  <si>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</si>
  <si>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</si>
  <si>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</si>
  <si>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</si>
  <si>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</si>
  <si>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</si>
  <si>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</si>
  <si>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</si>
  <si>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</si>
  <si>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</si>
  <si>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</si>
  <si>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</si>
  <si>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</si>
  <si>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</si>
  <si>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</si>
  <si>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</si>
  <si>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</si>
  <si>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</si>
  <si>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</si>
  <si>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</si>
  <si>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</si>
  <si>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</si>
  <si>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</si>
  <si>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</si>
  <si>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</si>
  <si>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</si>
  <si>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</si>
  <si>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</si>
  <si>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</si>
  <si>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</si>
  <si>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</si>
  <si>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</si>
  <si>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</si>
  <si>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</si>
  <si>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</si>
  <si>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</si>
  <si>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</si>
  <si>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</si>
  <si>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</si>
  <si>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</si>
  <si>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</si>
  <si>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</si>
  <si>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</si>
  <si>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</si>
  <si>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</si>
  <si>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</si>
  <si>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</si>
  <si>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</si>
  <si>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</si>
  <si>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</si>
  <si>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</si>
  <si>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</si>
  <si>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</si>
  <si>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</si>
  <si>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</si>
  <si>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</si>
  <si>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</si>
  <si>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</si>
  <si>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</si>
  <si>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</si>
  <si>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</si>
  <si>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</si>
  <si>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</si>
  <si>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</si>
  <si>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</si>
  <si>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</si>
  <si>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</si>
  <si>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</si>
  <si>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</si>
  <si>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</si>
  <si>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</si>
  <si>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</si>
  <si>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</si>
  <si>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</si>
  <si>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</si>
  <si>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</si>
  <si>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</si>
  <si>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</si>
  <si>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</si>
  <si>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</si>
  <si>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</si>
  <si>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</si>
  <si>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</si>
  <si>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</si>
  <si>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</si>
  <si>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</si>
  <si>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</si>
  <si>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</si>
  <si>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</si>
  <si>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</si>
  <si>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</si>
  <si>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</si>
  <si>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</si>
  <si>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</si>
  <si>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</si>
  <si>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</si>
  <si>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</si>
  <si>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</si>
  <si>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</si>
  <si>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</si>
  <si>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</si>
  <si>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</si>
  <si>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</si>
  <si>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</si>
  <si>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</si>
  <si>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</si>
  <si>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</si>
  <si>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</si>
  <si>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</si>
  <si>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</si>
  <si>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</si>
  <si>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</si>
  <si>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</si>
  <si>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</si>
  <si>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</si>
  <si>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</si>
  <si>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</si>
  <si>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</si>
  <si>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</si>
  <si>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</si>
  <si>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</si>
  <si>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</si>
  <si>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</si>
  <si>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</si>
  <si>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</si>
  <si>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</si>
  <si>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</si>
  <si>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</si>
  <si>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</si>
  <si>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</si>
  <si>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</si>
  <si>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</si>
  <si>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</si>
  <si>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</si>
  <si>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</si>
  <si>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</si>
  <si>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</si>
  <si>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</si>
  <si>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</si>
  <si>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</si>
  <si>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</si>
  <si>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</si>
  <si>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</si>
  <si>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</si>
  <si>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</si>
  <si>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</si>
  <si>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</si>
  <si>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</si>
  <si>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</si>
  <si>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</si>
  <si>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</si>
  <si>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</si>
  <si>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</si>
  <si>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</si>
  <si>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</si>
  <si>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</si>
  <si>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</si>
  <si>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</si>
  <si>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</si>
  <si>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</si>
  <si>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</si>
  <si>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</si>
  <si>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</si>
  <si>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</si>
  <si>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</si>
  <si>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</si>
  <si>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</si>
  <si>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</si>
  <si>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</si>
  <si>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</si>
  <si>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</si>
  <si>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</si>
  <si>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</si>
  <si>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</si>
  <si>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</si>
  <si>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</si>
  <si>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</si>
  <si>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</si>
  <si>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</si>
  <si>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</si>
  <si>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</si>
  <si>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</si>
  <si>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</si>
  <si>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</si>
  <si>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</si>
  <si>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</si>
  <si>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</si>
  <si>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</si>
  <si>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</si>
  <si>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</si>
  <si>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</si>
  <si>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</si>
  <si>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</si>
  <si>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</si>
  <si>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</si>
  <si>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</si>
  <si>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</si>
  <si>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</si>
  <si>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</si>
  <si>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</si>
  <si>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</si>
  <si>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</si>
  <si>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</si>
  <si>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</si>
  <si>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</si>
  <si>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</si>
  <si>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</si>
  <si>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</si>
  <si>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</si>
  <si>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</si>
  <si>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</si>
  <si>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</si>
  <si>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</si>
  <si>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</si>
  <si>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</si>
  <si>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</si>
  <si>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</si>
  <si>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</si>
  <si>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</si>
  <si>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</si>
  <si>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</si>
  <si>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</si>
  <si>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</si>
  <si>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</si>
  <si>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</si>
  <si>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</si>
  <si>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</si>
  <si>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</si>
  <si>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</si>
  <si>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</si>
  <si>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</si>
  <si>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</si>
  <si>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</si>
  <si>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</si>
  <si>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</si>
  <si>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</si>
  <si>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</si>
  <si>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</si>
  <si>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</si>
  <si>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</si>
  <si>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</si>
  <si>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</si>
  <si>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</si>
  <si>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</si>
  <si>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</si>
  <si>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</si>
  <si>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</si>
  <si>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</si>
  <si>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</si>
  <si>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</si>
  <si>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</si>
  <si>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</si>
  <si>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</si>
  <si>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</si>
  <si>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</si>
  <si>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</si>
  <si>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</si>
  <si>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</si>
  <si>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</si>
  <si>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</si>
  <si>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</si>
  <si>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</si>
  <si>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</si>
  <si>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</si>
  <si>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</si>
  <si>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</si>
  <si>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</si>
  <si>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</si>
  <si>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</si>
  <si>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</si>
  <si>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</si>
  <si>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</si>
  <si>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</si>
  <si>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</si>
  <si>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</si>
  <si>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</si>
  <si>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</si>
  <si>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</si>
  <si>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</si>
  <si>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</si>
  <si>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</si>
  <si>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</si>
  <si>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</si>
  <si>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</si>
  <si>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</si>
  <si>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</si>
  <si>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</si>
  <si>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</si>
  <si>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</si>
  <si>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</si>
  <si>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</si>
  <si>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</si>
  <si>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</si>
  <si>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</si>
  <si>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</si>
  <si>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</si>
  <si>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</si>
  <si>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</si>
  <si>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</si>
  <si>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</si>
  <si>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</si>
  <si>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</si>
  <si>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</si>
  <si>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</si>
  <si>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</si>
  <si>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</si>
  <si>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</si>
  <si>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</si>
  <si>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</si>
  <si>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</si>
  <si>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</si>
  <si>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</si>
  <si>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</si>
  <si>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</si>
  <si>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</si>
  <si>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</si>
  <si>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</si>
  <si>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</si>
  <si>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</si>
  <si>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</si>
  <si>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</si>
  <si>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</si>
  <si>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</si>
  <si>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</si>
  <si>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</si>
  <si>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</si>
  <si>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</si>
  <si>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</si>
  <si>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</si>
  <si>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</si>
  <si>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</si>
  <si>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</si>
  <si>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</si>
  <si>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</si>
  <si>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</si>
  <si>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</si>
  <si>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</si>
  <si>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</si>
  <si>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</si>
  <si>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</si>
  <si>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</si>
  <si>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</si>
  <si>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</si>
  <si>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</si>
  <si>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</si>
  <si>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</si>
  <si>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</si>
  <si>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</si>
  <si>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</si>
  <si>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</si>
  <si>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</si>
  <si>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</si>
  <si>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</si>
  <si>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</si>
  <si>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</si>
  <si>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</si>
  <si>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</si>
  <si>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</si>
  <si>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</si>
  <si>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</si>
  <si>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</si>
  <si>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</si>
  <si>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</si>
  <si>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</si>
  <si>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</si>
  <si>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</si>
  <si>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</si>
  <si>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</si>
  <si>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</si>
  <si>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</si>
  <si>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</si>
  <si>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</si>
  <si>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</si>
  <si>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</si>
  <si>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</si>
  <si>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</si>
  <si>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</si>
  <si>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</si>
  <si>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</si>
  <si>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</si>
  <si>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</si>
  <si>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</si>
  <si>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</si>
  <si>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</si>
  <si>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</si>
  <si>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</si>
  <si>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</si>
  <si>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</si>
  <si>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</si>
  <si>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</si>
  <si>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</si>
  <si>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</si>
  <si>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</si>
  <si>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</si>
  <si>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</si>
  <si>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</si>
  <si>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</si>
  <si>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</si>
  <si>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</si>
  <si>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</si>
  <si>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</si>
  <si>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</si>
  <si>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</si>
  <si>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</si>
  <si>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</si>
  <si>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</si>
  <si>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</si>
  <si>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</si>
  <si>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</si>
  <si>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</si>
  <si>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</si>
  <si>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</si>
  <si>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</si>
  <si>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</si>
  <si>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</si>
  <si>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</si>
  <si>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</si>
  <si>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</si>
  <si>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</si>
  <si>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</si>
  <si>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</si>
  <si>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</si>
  <si>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</si>
  <si>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</si>
  <si>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</si>
  <si>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</si>
  <si>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</si>
  <si>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</si>
  <si>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</si>
  <si>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</si>
  <si>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</si>
  <si>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</si>
  <si>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</si>
  <si>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</si>
  <si>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</si>
  <si>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</si>
  <si>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</si>
  <si>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</si>
  <si>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</si>
  <si>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</si>
  <si>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</si>
  <si>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</si>
  <si>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</si>
  <si>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</si>
  <si>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</si>
  <si>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</si>
  <si>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</si>
  <si>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</si>
  <si>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</si>
  <si>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</si>
  <si>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</si>
  <si>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</si>
  <si>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</si>
  <si>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</si>
  <si>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</si>
  <si>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</si>
  <si>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</si>
  <si>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</si>
  <si>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</si>
  <si>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</si>
  <si>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</si>
  <si>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</si>
  <si>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</si>
  <si>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</si>
  <si>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</si>
  <si>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</si>
  <si>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</si>
  <si>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</si>
  <si>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</si>
  <si>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</si>
  <si>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</si>
  <si>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</si>
  <si>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</si>
  <si>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</si>
  <si>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</si>
  <si>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</si>
  <si>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</si>
  <si>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</si>
  <si>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</si>
  <si>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</si>
  <si>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</si>
  <si>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</si>
  <si>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</si>
  <si>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</si>
  <si>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</si>
  <si>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</si>
  <si>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</si>
  <si>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</si>
  <si>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</si>
  <si>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</si>
  <si>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</si>
  <si>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</si>
  <si>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</si>
  <si>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</si>
  <si>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</si>
  <si>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</si>
  <si>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</si>
  <si>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</si>
  <si>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</si>
  <si>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</si>
  <si>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</si>
  <si>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</si>
  <si>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</si>
  <si>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</si>
  <si>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</si>
  <si>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</si>
  <si>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</si>
  <si>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</si>
  <si>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</si>
  <si>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</si>
  <si>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</si>
  <si>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</si>
  <si>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</si>
  <si>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</si>
  <si>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</si>
  <si>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</si>
  <si>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</si>
  <si>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</si>
  <si>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</si>
  <si>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</si>
  <si>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</si>
  <si>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</si>
  <si>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</si>
  <si>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</si>
  <si>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</si>
  <si>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</si>
  <si>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</si>
  <si>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</si>
  <si>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</si>
  <si>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</si>
  <si>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</si>
  <si>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</si>
  <si>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</si>
  <si>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</si>
  <si>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</si>
  <si>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</si>
  <si>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</si>
  <si>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</si>
  <si>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</si>
  <si>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</si>
  <si>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</si>
  <si>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</si>
  <si>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</si>
  <si>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</si>
  <si>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</si>
  <si>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</si>
  <si>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</si>
  <si>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</si>
  <si>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</si>
  <si>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</si>
  <si>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</si>
  <si>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</si>
  <si>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</si>
  <si>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</si>
  <si>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</si>
  <si>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</si>
  <si>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</si>
  <si>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</si>
  <si>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</si>
  <si>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</si>
  <si>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</si>
  <si>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</si>
  <si>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</si>
  <si>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</si>
  <si>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</si>
  <si>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</si>
  <si>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</si>
  <si>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</si>
  <si>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</si>
  <si>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</si>
  <si>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</si>
  <si>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</si>
  <si>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</si>
  <si>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</si>
  <si>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</si>
  <si>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</si>
  <si>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</si>
  <si>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</si>
  <si>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</si>
  <si>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</si>
  <si>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</si>
  <si>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</si>
  <si>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</si>
  <si>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</si>
  <si>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</si>
  <si>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</si>
  <si>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</si>
  <si>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</si>
  <si>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</si>
  <si>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</si>
  <si>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</si>
  <si>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</si>
  <si>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</si>
  <si>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</si>
  <si>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</si>
  <si>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</si>
  <si>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</si>
  <si>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</si>
  <si>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</si>
  <si>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</si>
  <si>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</si>
  <si>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</si>
  <si>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</si>
  <si>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</si>
  <si>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</si>
  <si>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</si>
  <si>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</si>
  <si>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</si>
  <si>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</si>
  <si>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</si>
  <si>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</si>
  <si>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</si>
  <si>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</si>
  <si>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</si>
  <si>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</si>
  <si>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</si>
  <si>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</si>
  <si>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</si>
  <si>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</si>
  <si>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</si>
  <si>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</si>
  <si>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</si>
  <si>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</si>
  <si>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</si>
  <si>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</si>
  <si>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</si>
  <si>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</si>
  <si>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</si>
  <si>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</si>
  <si>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</si>
  <si>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</si>
  <si>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</si>
  <si>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</si>
  <si>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</si>
  <si>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</si>
  <si>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</si>
  <si>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</si>
  <si>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</si>
  <si>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</si>
  <si>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</si>
  <si>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</si>
  <si>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</si>
  <si>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</si>
  <si>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</si>
  <si>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</si>
  <si>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</si>
  <si>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</si>
  <si>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</si>
  <si>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</si>
  <si>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</si>
  <si>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</si>
  <si>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</si>
  <si>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</si>
  <si>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</si>
  <si>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</si>
  <si>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</si>
  <si>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</si>
  <si>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</si>
  <si>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</si>
  <si>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</si>
  <si>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</si>
  <si>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</si>
  <si>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</si>
  <si>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</si>
  <si>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</si>
  <si>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</si>
  <si>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</si>
  <si>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</si>
  <si>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</si>
  <si>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</si>
  <si>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</si>
  <si>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</si>
  <si>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</si>
  <si>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</si>
  <si>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</si>
  <si>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</si>
  <si>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</si>
  <si>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</si>
  <si>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</si>
  <si>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</si>
  <si>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</si>
  <si>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</si>
  <si>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</si>
  <si>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</si>
  <si>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</si>
  <si>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</si>
  <si>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</si>
  <si>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</si>
  <si>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</si>
  <si>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</si>
  <si>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</si>
  <si>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</si>
  <si>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</si>
  <si>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</si>
  <si>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</si>
  <si>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</si>
  <si>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</si>
  <si>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</si>
  <si>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</si>
  <si>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</si>
  <si>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</si>
  <si>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</si>
  <si>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</si>
  <si>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</si>
  <si>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</si>
  <si>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</si>
  <si>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</si>
  <si>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</si>
  <si>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</si>
  <si>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</si>
  <si>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</si>
  <si>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</si>
  <si>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</si>
  <si>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</si>
  <si>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</si>
  <si>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</si>
  <si>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</si>
  <si>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</si>
  <si>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</si>
  <si>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</si>
  <si>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</si>
  <si>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</si>
  <si>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</si>
  <si>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</si>
  <si>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</si>
  <si>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</si>
  <si>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</si>
  <si>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</si>
  <si>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</si>
  <si>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</si>
  <si>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</si>
  <si>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</si>
  <si>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</si>
  <si>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</si>
  <si>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</si>
  <si>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</si>
  <si>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</si>
  <si>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</si>
  <si>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</si>
  <si>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</si>
  <si>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</si>
  <si>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</si>
  <si>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</si>
  <si>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</si>
  <si>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</si>
  <si>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</si>
  <si>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</si>
  <si>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</si>
  <si>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</si>
  <si>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</si>
  <si>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</si>
  <si>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</si>
  <si>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</si>
  <si>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</si>
  <si>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</si>
  <si>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</si>
  <si>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</si>
  <si>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</si>
  <si>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</si>
  <si>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</si>
  <si>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</si>
  <si>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</si>
  <si>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</si>
  <si>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</si>
  <si>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</si>
  <si>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</si>
  <si>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</si>
  <si>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</si>
  <si>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</si>
  <si>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</si>
  <si>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</si>
  <si>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</si>
  <si>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</si>
  <si>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</si>
  <si>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</si>
  <si>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</si>
  <si>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</si>
  <si>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</si>
  <si>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</si>
  <si>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</si>
  <si>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</si>
  <si>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</si>
  <si>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</si>
  <si>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</si>
  <si>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</si>
  <si>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</si>
  <si>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</si>
  <si>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</si>
  <si>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</si>
  <si>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</si>
  <si>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</si>
  <si>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</si>
  <si>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</si>
  <si>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</si>
  <si>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</si>
  <si>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</si>
  <si>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</si>
  <si>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</si>
  <si>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</si>
  <si>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</si>
  <si>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</si>
  <si>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</si>
  <si>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</si>
  <si>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</si>
  <si>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</si>
  <si>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</si>
  <si>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</si>
  <si>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</si>
  <si>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</si>
  <si>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</si>
  <si>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</si>
  <si>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</si>
  <si>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</si>
  <si>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</si>
  <si>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</si>
  <si>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</si>
  <si>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</si>
  <si>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</si>
  <si>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</si>
  <si>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</si>
  <si>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</si>
  <si>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</si>
  <si>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</si>
  <si>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</si>
  <si>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</si>
  <si>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</si>
  <si>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</si>
  <si>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</si>
  <si>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</si>
  <si>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</si>
  <si>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</si>
  <si>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</si>
  <si>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</si>
  <si>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</si>
  <si>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</si>
  <si>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</si>
  <si>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</si>
  <si>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</si>
  <si>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</si>
  <si>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</si>
  <si>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</si>
  <si>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</si>
  <si>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</si>
  <si>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</si>
  <si>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</si>
  <si>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</si>
  <si>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</si>
  <si>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</si>
  <si>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</si>
  <si>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</si>
  <si>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</si>
  <si>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</si>
  <si>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</si>
  <si>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</si>
  <si>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</si>
  <si>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</si>
  <si>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</si>
  <si>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</si>
  <si>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</si>
  <si>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</si>
  <si>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</si>
  <si>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</si>
  <si>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</si>
  <si>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</si>
  <si>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</si>
  <si>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</si>
  <si>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</si>
  <si>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</si>
  <si>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</si>
  <si>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</si>
  <si>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</si>
  <si>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</si>
  <si>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</si>
  <si>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</si>
  <si>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</si>
  <si>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</si>
  <si>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</si>
  <si>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</si>
  <si>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</si>
  <si>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</si>
  <si>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</si>
  <si>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</si>
  <si>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</si>
  <si>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</si>
  <si>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</si>
  <si>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</si>
  <si>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</si>
  <si>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</si>
  <si>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</si>
  <si>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</si>
  <si>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</si>
  <si>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</si>
  <si>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</si>
  <si>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</si>
  <si>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</si>
  <si>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</si>
  <si>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</si>
  <si>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</si>
  <si>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</si>
  <si>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</si>
  <si>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</si>
  <si>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</si>
  <si>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</si>
  <si>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</si>
  <si>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</si>
  <si>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</si>
  <si>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</si>
  <si>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</si>
  <si>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</si>
  <si>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</si>
  <si>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</si>
  <si>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</si>
  <si>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</si>
  <si>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</si>
  <si>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</si>
  <si>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</si>
  <si>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</si>
  <si>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</si>
  <si>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</si>
  <si>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</si>
  <si>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</si>
  <si>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</si>
  <si>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</si>
  <si>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</si>
  <si>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</si>
  <si>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</si>
  <si>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</si>
  <si>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</si>
  <si>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</si>
  <si>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</si>
  <si>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</si>
  <si>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</si>
  <si>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</si>
  <si>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</si>
  <si>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</si>
  <si>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</si>
  <si>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</si>
  <si>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</si>
  <si>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</si>
  <si>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</si>
  <si>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</si>
  <si>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</si>
  <si>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</si>
  <si>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</si>
  <si>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</si>
  <si>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</si>
  <si>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</si>
  <si>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</si>
  <si>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</si>
  <si>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</si>
  <si>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</si>
  <si>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</si>
  <si>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</si>
  <si>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</si>
  <si>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</si>
  <si>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</si>
  <si>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</si>
  <si>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</si>
  <si>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</si>
  <si>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</si>
  <si>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</si>
  <si>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</si>
  <si>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</si>
  <si>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</si>
  <si>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</si>
  <si>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</si>
  <si>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</si>
  <si>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</si>
  <si>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</si>
  <si>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</si>
  <si>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</si>
  <si>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</si>
  <si>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</si>
  <si>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</si>
  <si>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</si>
  <si>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</si>
  <si>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</si>
  <si>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</si>
  <si>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</si>
  <si>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</si>
  <si>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</si>
  <si>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</si>
  <si>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</si>
  <si>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</si>
  <si>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</si>
  <si>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</si>
  <si>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</si>
  <si>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</si>
  <si>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</si>
  <si>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</si>
  <si>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</si>
  <si>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</si>
  <si>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</si>
  <si>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</si>
  <si>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</si>
  <si>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</si>
  <si>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</si>
  <si>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</si>
  <si>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</si>
  <si>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</si>
  <si>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</si>
  <si>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</si>
  <si>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</si>
  <si>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</si>
  <si>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</si>
  <si>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</si>
  <si>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</si>
  <si>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</si>
  <si>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</si>
  <si>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</si>
  <si>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</si>
  <si>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</si>
  <si>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</si>
  <si>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</si>
  <si>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</si>
  <si>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</si>
  <si>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</si>
  <si>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</si>
  <si>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</si>
  <si>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</si>
  <si>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</si>
  <si>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</si>
  <si>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</si>
  <si>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</si>
  <si>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</si>
  <si>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</si>
  <si>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</si>
  <si>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</si>
  <si>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</si>
  <si>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</si>
  <si>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</si>
  <si>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</si>
  <si>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</si>
  <si>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</si>
  <si>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</si>
  <si>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</si>
  <si>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</si>
  <si>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</si>
  <si>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</si>
  <si>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</si>
  <si>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</si>
  <si>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</si>
  <si>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</si>
  <si>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</si>
  <si>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</si>
  <si>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</si>
  <si>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</si>
  <si>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</si>
  <si>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</si>
  <si>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</si>
  <si>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</si>
  <si>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</si>
  <si>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</si>
  <si>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</si>
  <si>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</si>
  <si>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</si>
  <si>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</si>
  <si>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</si>
  <si>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</si>
  <si>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</si>
  <si>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</si>
  <si>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</si>
  <si>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</si>
  <si>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</si>
  <si>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</si>
  <si>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</si>
  <si>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</si>
  <si>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</si>
  <si>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</si>
  <si>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</si>
  <si>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</si>
  <si>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</si>
  <si>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</si>
  <si>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</si>
  <si>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</si>
  <si>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</si>
  <si>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</si>
  <si>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</si>
  <si>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</si>
  <si>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</si>
  <si>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</si>
  <si>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</si>
  <si>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</si>
  <si>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</si>
  <si>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</si>
  <si>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</si>
  <si>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</si>
  <si>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</si>
  <si>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</si>
  <si>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</si>
  <si>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</si>
  <si>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</si>
  <si>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</si>
  <si>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</si>
  <si>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</si>
  <si>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</si>
  <si>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</si>
  <si>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</si>
  <si>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</si>
  <si>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</si>
  <si>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</si>
  <si>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</si>
  <si>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</si>
  <si>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</si>
  <si>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</si>
  <si>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</si>
  <si>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</si>
  <si>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</si>
  <si>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</si>
  <si>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</si>
  <si>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</si>
  <si>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</si>
  <si>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</si>
  <si>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</si>
  <si>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</si>
  <si>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</si>
  <si>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</si>
  <si>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</si>
  <si>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</si>
  <si>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</si>
  <si>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</si>
  <si>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</si>
  <si>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</si>
  <si>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</si>
  <si>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</si>
  <si>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</si>
  <si>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</si>
  <si>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</si>
  <si>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</si>
  <si>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</si>
  <si>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</si>
  <si>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</si>
  <si>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</si>
  <si>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</si>
  <si>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</si>
  <si>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</si>
  <si>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</si>
  <si>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</si>
  <si>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</si>
  <si>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</si>
  <si>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</si>
  <si>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</si>
  <si>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</si>
  <si>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</si>
  <si>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</si>
  <si>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</si>
  <si>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</si>
  <si>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</si>
  <si>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</si>
  <si>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</si>
  <si>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</si>
  <si>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</si>
  <si>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</si>
  <si>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</si>
  <si>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</si>
  <si>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</si>
  <si>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</si>
  <si>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</si>
  <si>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</si>
  <si>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</si>
  <si>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</si>
  <si>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</si>
  <si>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</si>
  <si>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</si>
  <si>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</si>
  <si>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</si>
  <si>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</si>
  <si>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</si>
  <si>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</si>
  <si>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</si>
  <si>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</si>
  <si>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</si>
  <si>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</si>
  <si>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</si>
  <si>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</si>
  <si>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</si>
  <si>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</si>
  <si>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</si>
  <si>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</si>
  <si>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</si>
  <si>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</si>
  <si>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</si>
  <si>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</si>
  <si>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</si>
  <si>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</si>
  <si>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</si>
  <si>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</si>
  <si>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</si>
  <si>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</si>
  <si>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</si>
  <si>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</si>
  <si>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</si>
  <si>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</si>
  <si>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</si>
  <si>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</si>
  <si>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</si>
  <si>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</si>
  <si>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</si>
  <si>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</si>
  <si>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</si>
  <si>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</si>
  <si>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</si>
  <si>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</si>
  <si>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</si>
  <si>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</si>
  <si>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</si>
  <si>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</si>
  <si>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</si>
  <si>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</si>
  <si>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</si>
  <si>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</si>
  <si>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</si>
  <si>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</si>
  <si>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</si>
  <si>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</si>
  <si>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</si>
  <si>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</si>
  <si>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</si>
  <si>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</si>
  <si>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</si>
  <si>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</si>
  <si>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</si>
  <si>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</si>
  <si>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</si>
  <si>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</si>
  <si>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</si>
  <si>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</si>
  <si>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</si>
  <si>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</si>
  <si>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</si>
  <si>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</si>
  <si>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</si>
  <si>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</si>
  <si>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</si>
  <si>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</si>
  <si>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</si>
  <si>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</si>
  <si>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</si>
  <si>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</si>
  <si>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</si>
  <si>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</si>
  <si>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</si>
  <si>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</si>
  <si>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</si>
  <si>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</si>
  <si>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</si>
  <si>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</si>
  <si>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</si>
  <si>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</si>
  <si>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</si>
  <si>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</si>
  <si>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</si>
  <si>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</si>
  <si>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</si>
  <si>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</si>
  <si>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</si>
  <si>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</si>
  <si>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</si>
  <si>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</si>
  <si>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</si>
  <si>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</si>
  <si>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</si>
  <si>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</si>
  <si>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</si>
  <si>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</si>
  <si>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</si>
  <si>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</si>
  <si>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</si>
  <si>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</si>
  <si>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</si>
  <si>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</si>
  <si>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</si>
  <si>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</si>
  <si>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</si>
  <si>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</si>
  <si>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</si>
  <si>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</si>
  <si>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</si>
  <si>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</si>
  <si>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</si>
  <si>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</si>
  <si>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</si>
  <si>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</si>
  <si>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</si>
  <si>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</si>
  <si>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</si>
  <si>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</si>
  <si>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</si>
  <si>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</si>
  <si>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</si>
  <si>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</si>
  <si>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</si>
  <si>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</si>
  <si>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</si>
  <si>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</si>
  <si>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</si>
  <si>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</si>
  <si>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</si>
  <si>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</si>
  <si>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</si>
  <si>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</si>
  <si>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</si>
  <si>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</si>
  <si>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</si>
  <si>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</si>
  <si>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</si>
  <si>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</si>
  <si>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</si>
  <si>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</si>
  <si>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</si>
  <si>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</si>
  <si>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</si>
  <si>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</si>
  <si>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</si>
  <si>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</si>
  <si>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</si>
  <si>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</si>
  <si>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</si>
  <si>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</si>
  <si>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</si>
  <si>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</si>
  <si>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</si>
  <si>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</si>
  <si>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</si>
  <si>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</si>
  <si>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</si>
  <si>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</si>
  <si>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</si>
  <si>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</si>
  <si>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</si>
  <si>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</si>
  <si>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</si>
  <si>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</si>
  <si>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</si>
  <si>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</si>
  <si>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</si>
  <si>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</si>
  <si>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</si>
  <si>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</si>
  <si>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</si>
  <si>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</si>
  <si>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</si>
  <si>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</si>
  <si>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</si>
  <si>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</si>
  <si>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</si>
  <si>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</si>
  <si>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</si>
  <si>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</si>
  <si>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</si>
  <si>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</si>
  <si>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</si>
  <si>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</si>
  <si>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</si>
  <si>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</si>
  <si>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</si>
  <si>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</si>
  <si>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</si>
  <si>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</si>
  <si>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</si>
  <si>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</si>
  <si>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</si>
  <si>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</si>
  <si>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</si>
  <si>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</si>
  <si>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</si>
  <si>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</si>
  <si>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</si>
  <si>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</si>
  <si>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</si>
  <si>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</si>
  <si>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</si>
  <si>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</si>
  <si>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</si>
  <si>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</si>
  <si>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</si>
  <si>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</si>
  <si>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</si>
  <si>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</si>
  <si>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</si>
  <si>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</si>
  <si>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</si>
  <si>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</si>
  <si>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</si>
  <si>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</si>
  <si>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</si>
  <si>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</si>
  <si>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</si>
  <si>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</si>
  <si>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</si>
  <si>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</si>
  <si>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</si>
  <si>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</si>
  <si>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</si>
  <si>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</si>
  <si>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</si>
  <si>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</si>
  <si>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</si>
  <si>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</si>
  <si>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</si>
  <si>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</si>
  <si>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</si>
  <si>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</si>
  <si>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</si>
  <si>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</si>
  <si>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</si>
  <si>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</si>
  <si>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</si>
  <si>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</si>
  <si>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</si>
  <si>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</si>
  <si>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</si>
  <si>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</si>
  <si>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</si>
  <si>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</si>
  <si>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</si>
  <si>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</si>
  <si>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</si>
  <si>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</si>
  <si>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</si>
  <si>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</si>
  <si>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</si>
  <si>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</si>
  <si>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</si>
  <si>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</si>
  <si>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</si>
  <si>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</si>
  <si>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</si>
  <si>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</si>
  <si>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</si>
  <si>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</si>
  <si>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</si>
  <si>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</si>
  <si>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</si>
  <si>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</si>
  <si>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</si>
  <si>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</si>
  <si>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</si>
  <si>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</si>
  <si>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</si>
  <si>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</si>
  <si>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</si>
  <si>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</si>
  <si>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</si>
  <si>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</si>
  <si>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</si>
  <si>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</si>
  <si>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</si>
  <si>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</si>
  <si>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</si>
  <si>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</si>
  <si>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</si>
  <si>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</si>
  <si>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</si>
  <si>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</si>
  <si>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</si>
  <si>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</si>
  <si>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</si>
  <si>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</si>
  <si>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</si>
  <si>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</si>
  <si>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</si>
  <si>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</si>
  <si>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</si>
  <si>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</si>
  <si>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</si>
  <si>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</si>
  <si>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</si>
  <si>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</si>
  <si>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</si>
  <si>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</si>
  <si>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</si>
  <si>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</si>
  <si>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</si>
  <si>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</si>
  <si>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</si>
  <si>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</si>
  <si>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</si>
  <si>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</si>
  <si>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</si>
  <si>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</si>
  <si>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</si>
  <si>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</si>
  <si>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</si>
  <si>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</si>
  <si>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</si>
  <si>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</si>
  <si>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</si>
  <si>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</si>
  <si>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</si>
  <si>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</si>
  <si>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</si>
  <si>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</si>
  <si>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</si>
  <si>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</si>
  <si>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</si>
  <si>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</si>
  <si>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</si>
  <si>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</si>
  <si>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</si>
  <si>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</si>
  <si>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</si>
  <si>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</si>
  <si>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</si>
  <si>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</si>
  <si>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</si>
  <si>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</si>
  <si>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</si>
  <si>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</si>
  <si>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</si>
  <si>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</si>
  <si>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</si>
  <si>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</si>
  <si>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</si>
  <si>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</si>
  <si>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</si>
  <si>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</si>
  <si>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</si>
  <si>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</si>
  <si>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</si>
  <si>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</si>
  <si>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</si>
  <si>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</si>
  <si>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</si>
  <si>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</si>
  <si>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</si>
  <si>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</si>
  <si>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</si>
  <si>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</si>
  <si>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</si>
  <si>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</si>
  <si>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</si>
  <si>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</si>
  <si>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</si>
  <si>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</si>
  <si>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</si>
  <si>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</si>
  <si>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</si>
  <si>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</si>
  <si>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</si>
  <si>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</si>
  <si>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</si>
  <si>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</si>
  <si>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</si>
  <si>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</si>
  <si>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</si>
  <si>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</si>
  <si>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</si>
  <si>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</si>
  <si>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</si>
  <si>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</si>
  <si>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</si>
  <si>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</si>
  <si>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</si>
  <si>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</si>
  <si>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</si>
  <si>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</si>
  <si>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</si>
  <si>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</si>
  <si>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</si>
  <si>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</si>
  <si>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</si>
  <si>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</si>
  <si>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</si>
  <si>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</si>
  <si>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</si>
  <si>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</si>
  <si>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</si>
  <si>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</si>
  <si>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</si>
  <si>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</si>
  <si>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</si>
  <si>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</si>
  <si>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</si>
  <si>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</si>
  <si>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</si>
  <si>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</si>
  <si>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</si>
  <si>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</si>
  <si>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</si>
  <si>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</si>
  <si>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</si>
  <si>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</si>
  <si>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</si>
  <si>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</si>
  <si>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</si>
  <si>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</si>
  <si>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</si>
  <si>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</si>
  <si>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</si>
  <si>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</si>
  <si>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</si>
  <si>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</si>
  <si>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</si>
  <si>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</si>
  <si>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</si>
  <si>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</si>
  <si>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</si>
  <si>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</si>
  <si>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</si>
  <si>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</si>
  <si>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</si>
  <si>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</si>
  <si>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</si>
  <si>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</si>
  <si>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</si>
  <si>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</si>
  <si>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</si>
  <si>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</si>
  <si>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</si>
  <si>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</si>
  <si>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</si>
  <si>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</si>
  <si>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</si>
  <si>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</si>
  <si>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</si>
  <si>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</si>
  <si>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</si>
  <si>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</si>
  <si>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</si>
  <si>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</si>
  <si>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</si>
  <si>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</si>
  <si>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</si>
  <si>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</si>
  <si>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</si>
  <si>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</si>
  <si>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</si>
  <si>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</si>
  <si>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</si>
  <si>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</si>
  <si>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</si>
  <si>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</si>
  <si>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</si>
  <si>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</si>
  <si>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</si>
  <si>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</si>
  <si>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</si>
  <si>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</si>
  <si>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</si>
  <si>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</si>
  <si>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</si>
  <si>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</si>
  <si>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</si>
  <si>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</si>
  <si>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</si>
  <si>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</si>
  <si>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</si>
  <si>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</si>
  <si>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</si>
  <si>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</si>
  <si>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</si>
  <si>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</si>
  <si>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</si>
  <si>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</si>
  <si>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</si>
  <si>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</si>
  <si>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</si>
  <si>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</si>
  <si>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</si>
  <si>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</si>
  <si>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</si>
  <si>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</si>
  <si>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</si>
  <si>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</si>
  <si>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</si>
  <si>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</si>
  <si>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</si>
  <si>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</si>
  <si>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</si>
  <si>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</si>
  <si>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</si>
  <si>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</si>
  <si>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</si>
  <si>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</si>
  <si>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</si>
  <si>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</si>
  <si>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</si>
  <si>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</si>
  <si>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</si>
  <si>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</si>
  <si>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</si>
  <si>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</si>
  <si>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</si>
  <si>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</si>
  <si>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</si>
  <si>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</si>
  <si>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</si>
  <si>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</si>
  <si>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</si>
  <si>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</si>
  <si>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</si>
  <si>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</si>
  <si>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</si>
  <si>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</si>
  <si>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</si>
  <si>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</si>
  <si>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</si>
  <si>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</si>
  <si>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</si>
  <si>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</si>
  <si>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</si>
  <si>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</si>
  <si>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</si>
  <si>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</si>
  <si>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</si>
  <si>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</si>
  <si>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</si>
  <si>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</si>
  <si>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</si>
  <si>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</si>
  <si>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</si>
  <si>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</si>
  <si>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</si>
  <si>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</si>
  <si>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</si>
  <si>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</si>
  <si>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</si>
  <si>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</si>
  <si>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</si>
  <si>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</si>
  <si>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</si>
  <si>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</si>
  <si>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</si>
  <si>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</si>
  <si>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</si>
  <si>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</si>
  <si>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</si>
  <si>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</si>
  <si>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</si>
  <si>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</si>
  <si>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</si>
  <si>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</si>
  <si>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</si>
  <si>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</si>
  <si>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</si>
  <si>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</si>
  <si>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</si>
  <si>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</si>
  <si>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</si>
  <si>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</si>
  <si>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</si>
  <si>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</si>
  <si>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</si>
  <si>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</si>
  <si>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</si>
  <si>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</si>
  <si>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</si>
  <si>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</si>
  <si>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</si>
  <si>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</si>
  <si>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</si>
  <si>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</si>
  <si>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</si>
  <si>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</si>
  <si>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</si>
  <si>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</si>
  <si>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</si>
  <si>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</si>
  <si>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</si>
  <si>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</si>
  <si>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</si>
  <si>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</si>
  <si>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</si>
  <si>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</si>
  <si>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</si>
  <si>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</si>
  <si>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</si>
  <si>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</si>
  <si>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</si>
  <si>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</si>
  <si>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</si>
  <si>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</si>
  <si>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</si>
  <si>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</si>
  <si>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</si>
  <si>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</si>
  <si>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</si>
  <si>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</si>
  <si>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</si>
  <si>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</si>
  <si>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</si>
  <si>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</si>
  <si>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</si>
  <si>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</si>
  <si>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</si>
  <si>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</si>
  <si>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</si>
  <si>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</si>
  <si>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</si>
  <si>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</si>
  <si>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</si>
  <si>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</si>
  <si>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</si>
  <si>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</si>
  <si>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</si>
  <si>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</si>
  <si>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</si>
  <si>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</si>
  <si>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</si>
  <si>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</si>
  <si>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</si>
  <si>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</si>
  <si>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</si>
  <si>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</si>
  <si>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</si>
  <si>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</si>
  <si>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</si>
  <si>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</si>
  <si>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</si>
  <si>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</si>
  <si>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</si>
  <si>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</si>
  <si>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</si>
  <si>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</si>
  <si>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</si>
  <si>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</si>
  <si>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</si>
  <si>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</si>
  <si>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</si>
  <si>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</si>
  <si>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</si>
  <si>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</si>
  <si>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</si>
  <si>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</si>
  <si>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</si>
  <si>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</si>
  <si>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</si>
  <si>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</si>
  <si>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</si>
  <si>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</si>
  <si>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</si>
  <si>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</si>
  <si>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</si>
  <si>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</si>
  <si>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</si>
  <si>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</si>
  <si>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</si>
  <si>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</si>
  <si>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</si>
  <si>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</si>
  <si>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</si>
  <si>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</si>
  <si>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</si>
  <si>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</si>
  <si>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</si>
  <si>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</si>
  <si>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</si>
  <si>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</si>
  <si>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</si>
  <si>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</si>
  <si>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</si>
  <si>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</si>
  <si>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</si>
  <si>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</si>
  <si>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</si>
  <si>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</si>
  <si>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</si>
  <si>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</si>
  <si>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</si>
  <si>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</si>
  <si>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</si>
  <si>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</si>
  <si>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</si>
  <si>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</si>
  <si>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</si>
  <si>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</si>
  <si>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</si>
  <si>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</si>
  <si>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</si>
  <si>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</si>
  <si>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</si>
  <si>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</si>
  <si>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</si>
  <si>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</si>
  <si>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</si>
  <si>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</si>
  <si>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</si>
  <si>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</si>
  <si>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</si>
  <si>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</si>
  <si>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</si>
  <si>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</si>
  <si>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</si>
  <si>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</si>
  <si>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</si>
  <si>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</si>
  <si>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</si>
  <si>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</si>
  <si>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</si>
  <si>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</si>
  <si>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</si>
  <si>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</si>
  <si>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</si>
  <si>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</si>
  <si>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</si>
  <si>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</si>
  <si>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</si>
  <si>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</si>
  <si>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</si>
  <si>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</si>
  <si>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</si>
  <si>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</si>
  <si>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</si>
  <si>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</si>
  <si>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</si>
  <si>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</si>
  <si>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</si>
  <si>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</si>
  <si>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</si>
  <si>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</si>
  <si>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</si>
  <si>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</si>
  <si>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</si>
  <si>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</si>
  <si>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</si>
  <si>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</si>
  <si>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</si>
  <si>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</si>
  <si>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</si>
  <si>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</si>
  <si>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</si>
  <si>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</si>
  <si>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</si>
  <si>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</si>
  <si>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</si>
  <si>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</si>
  <si>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</si>
  <si>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</si>
  <si>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</si>
  <si>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</si>
  <si>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</si>
  <si>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</si>
  <si>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</si>
  <si>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</si>
  <si>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</si>
  <si>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</si>
  <si>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</si>
  <si>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</si>
  <si>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</si>
  <si>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</si>
  <si>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</si>
  <si>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</si>
  <si>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</si>
  <si>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</si>
  <si>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</si>
  <si>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</si>
  <si>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</si>
  <si>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</si>
  <si>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</si>
  <si>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</si>
  <si>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</si>
  <si>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</si>
  <si>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</si>
  <si>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</si>
  <si>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</si>
  <si>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</si>
  <si>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</si>
  <si>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</si>
  <si>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</si>
  <si>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</si>
  <si>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</si>
  <si>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</si>
  <si>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</si>
  <si>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</si>
  <si>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</si>
  <si>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</si>
  <si>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</si>
  <si>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</si>
  <si>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</si>
  <si>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</si>
  <si>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</si>
  <si>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</si>
  <si>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</si>
  <si>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</si>
  <si>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</si>
  <si>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</si>
  <si>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</si>
  <si>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</si>
  <si>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</si>
  <si>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</si>
  <si>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</si>
  <si>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</si>
  <si>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</si>
  <si>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</si>
  <si>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</si>
  <si>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</si>
  <si>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</si>
  <si>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</si>
  <si>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</si>
  <si>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</si>
  <si>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</si>
  <si>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</si>
  <si>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</si>
  <si>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</si>
  <si>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</si>
  <si>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</si>
  <si>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</si>
  <si>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</si>
  <si>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</si>
  <si>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</si>
  <si>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</si>
  <si>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</si>
  <si>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</si>
  <si>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</si>
  <si>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</si>
  <si>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</si>
  <si>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</si>
  <si>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</si>
  <si>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</si>
  <si>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</si>
  <si>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</si>
  <si>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</si>
  <si>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</si>
  <si>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</si>
  <si>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</si>
  <si>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</si>
  <si>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</si>
  <si>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</si>
  <si>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</si>
  <si>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</si>
  <si>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</si>
  <si>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</si>
  <si>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</si>
  <si>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</si>
  <si>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</si>
  <si>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</si>
  <si>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</si>
  <si>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</si>
  <si>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</si>
  <si>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</si>
  <si>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</si>
  <si>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</si>
  <si>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</si>
  <si>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</si>
  <si>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</si>
  <si>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</si>
  <si>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</si>
  <si>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</si>
  <si>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</si>
  <si>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</si>
  <si>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</si>
  <si>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</si>
  <si>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</si>
  <si>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</si>
  <si>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</si>
  <si>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</si>
  <si>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</si>
  <si>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</si>
  <si>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</si>
  <si>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</si>
  <si>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</si>
  <si>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</si>
  <si>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</si>
  <si>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</si>
  <si>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</si>
  <si>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</si>
  <si>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</si>
  <si>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</si>
  <si>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</si>
  <si>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</si>
  <si>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</si>
  <si>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</si>
  <si>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</si>
  <si>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</si>
  <si>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</si>
  <si>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</si>
  <si>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</si>
  <si>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</si>
  <si>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</si>
  <si>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</si>
  <si>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</si>
  <si>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</si>
  <si>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</si>
  <si>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</si>
  <si>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</si>
  <si>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</si>
  <si>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</si>
  <si>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</si>
  <si>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</si>
  <si>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</si>
  <si>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</si>
  <si>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</si>
  <si>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</si>
  <si>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</si>
  <si>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</si>
  <si>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</si>
  <si>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</si>
  <si>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</si>
  <si>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</si>
  <si>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</si>
  <si>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</si>
  <si>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</si>
  <si>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</si>
  <si>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</si>
  <si>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</si>
  <si>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</si>
  <si>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</si>
  <si>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</si>
  <si>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</si>
  <si>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</si>
  <si>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</si>
  <si>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</si>
  <si>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</si>
  <si>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</si>
  <si>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</si>
  <si>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</si>
  <si>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</si>
  <si>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</si>
  <si>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</si>
  <si>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</si>
  <si>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</si>
  <si>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</si>
  <si>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</si>
  <si>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</si>
  <si>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</si>
  <si>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</si>
  <si>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</si>
  <si>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</si>
  <si>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</si>
  <si>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</si>
  <si>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</si>
  <si>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</si>
  <si>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</si>
  <si>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</si>
  <si>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</si>
  <si>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</si>
  <si>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</si>
  <si>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</si>
  <si>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</si>
  <si>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</si>
  <si>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</si>
  <si>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</si>
  <si>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</si>
  <si>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</si>
  <si>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</si>
  <si>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</si>
  <si>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</si>
  <si>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</si>
  <si>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</si>
  <si>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</si>
  <si>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</si>
  <si>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</si>
  <si>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</si>
  <si>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</si>
  <si>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</si>
  <si>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</si>
  <si>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</si>
  <si>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</si>
  <si>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</si>
  <si>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</si>
  <si>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</si>
  <si>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</si>
  <si>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</si>
  <si>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</si>
  <si>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</si>
  <si>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</si>
  <si>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</si>
  <si>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</si>
  <si>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</si>
  <si>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</si>
  <si>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</si>
  <si>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</si>
  <si>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</si>
  <si>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</si>
  <si>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</si>
  <si>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</si>
  <si>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</si>
  <si>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</si>
  <si>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</si>
  <si>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</si>
  <si>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</si>
  <si>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</si>
  <si>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</si>
  <si>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</si>
  <si>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</si>
  <si>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</si>
  <si>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</si>
  <si>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</si>
  <si>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</si>
  <si>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</si>
  <si>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</si>
  <si>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</si>
  <si>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</si>
  <si>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</si>
  <si>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</si>
  <si>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</si>
  <si>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</si>
  <si>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</si>
  <si>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</si>
  <si>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</si>
  <si>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</si>
  <si>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</si>
  <si>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</si>
  <si>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</si>
  <si>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</si>
  <si>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</si>
  <si>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</si>
  <si>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</si>
  <si>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</si>
  <si>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</si>
  <si>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</si>
  <si>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</si>
  <si>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</si>
  <si>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</si>
  <si>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</si>
  <si>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</si>
  <si>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</si>
  <si>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</si>
  <si>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</si>
  <si>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</si>
  <si>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</si>
  <si>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</si>
  <si>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</si>
  <si>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</si>
  <si>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</si>
  <si>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</si>
  <si>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</si>
  <si>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</si>
  <si>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</si>
  <si>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</si>
  <si>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</si>
  <si>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</si>
  <si>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</si>
  <si>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</si>
  <si>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</si>
  <si>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</si>
  <si>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</si>
  <si>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</si>
  <si>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</si>
  <si>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</si>
  <si>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</si>
  <si>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</si>
  <si>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</si>
  <si>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</si>
  <si>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</si>
  <si>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</si>
  <si>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</si>
  <si>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</si>
  <si>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</si>
  <si>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</si>
  <si>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</si>
  <si>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</si>
  <si>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</si>
  <si>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</si>
  <si>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</si>
  <si>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</si>
  <si>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</si>
  <si>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</si>
  <si>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</si>
  <si>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</si>
  <si>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</si>
  <si>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</si>
  <si>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</si>
  <si>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</si>
  <si>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</si>
  <si>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</si>
  <si>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</si>
  <si>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</si>
  <si>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</si>
  <si>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</si>
  <si>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</si>
  <si>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</si>
  <si>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</si>
  <si>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</si>
  <si>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</si>
  <si>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</si>
  <si>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</si>
  <si>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</si>
  <si>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</si>
  <si>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</si>
  <si>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</si>
  <si>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</si>
  <si>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</si>
  <si>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</si>
  <si>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</si>
  <si>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</si>
  <si>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</si>
  <si>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</si>
  <si>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</si>
  <si>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</si>
  <si>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</si>
  <si>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</si>
  <si>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</si>
  <si>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</si>
  <si>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</si>
  <si>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</si>
  <si>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</si>
  <si>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</si>
  <si>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</si>
  <si>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</si>
  <si>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</si>
  <si>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</si>
  <si>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</si>
  <si>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</si>
  <si>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</si>
  <si>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</si>
  <si>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</si>
  <si>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</si>
  <si>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</si>
  <si>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</si>
  <si>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</si>
  <si>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</si>
  <si>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</si>
  <si>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</si>
  <si>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</si>
  <si>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</si>
  <si>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</si>
  <si>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</si>
  <si>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</si>
  <si>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</si>
  <si>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</si>
  <si>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</si>
  <si>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</si>
  <si>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</si>
  <si>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</si>
  <si>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</si>
  <si>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</si>
  <si>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</si>
  <si>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</si>
  <si>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</si>
  <si>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</si>
  <si>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</si>
  <si>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</si>
  <si>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</si>
  <si>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</si>
  <si>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</si>
  <si>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</si>
  <si>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</si>
  <si>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</si>
  <si>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</si>
  <si>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</si>
  <si>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</si>
  <si>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</si>
  <si>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</si>
  <si>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</si>
  <si>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</si>
  <si>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</si>
  <si>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</si>
  <si>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</si>
  <si>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</si>
  <si>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</si>
  <si>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</si>
  <si>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</si>
  <si>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</si>
  <si>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</si>
  <si>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</si>
  <si>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</si>
  <si>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</si>
  <si>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</si>
  <si>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</si>
  <si>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</si>
  <si>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</si>
  <si>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</si>
  <si>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</si>
  <si>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</si>
  <si>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</si>
  <si>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</si>
  <si>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</si>
  <si>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</si>
  <si>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</si>
  <si>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</si>
  <si>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</si>
  <si>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</si>
  <si>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</si>
  <si>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</si>
  <si>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</si>
  <si>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</si>
  <si>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</si>
  <si>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</si>
  <si>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</si>
  <si>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</si>
  <si>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</si>
  <si>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</si>
  <si>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</si>
  <si>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</si>
  <si>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</si>
  <si>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</si>
  <si>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</si>
  <si>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</si>
  <si>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</si>
  <si>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</si>
  <si>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</si>
  <si>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</si>
  <si>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</si>
  <si>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</si>
  <si>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</si>
  <si>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</si>
  <si>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</si>
  <si>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</si>
  <si>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</si>
  <si>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</si>
  <si>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</si>
  <si>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</si>
  <si>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</si>
  <si>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</si>
  <si>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</si>
  <si>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</si>
  <si>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</si>
  <si>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</si>
  <si>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</si>
  <si>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</si>
  <si>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</si>
  <si>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</si>
  <si>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</si>
  <si>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</si>
  <si>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</si>
  <si>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</si>
  <si>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</si>
  <si>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</si>
  <si>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</si>
  <si>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</si>
  <si>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</si>
  <si>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</si>
  <si>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</si>
  <si>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</si>
  <si>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</si>
  <si>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</si>
  <si>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</si>
  <si>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</si>
  <si>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</si>
  <si>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</si>
  <si>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</si>
  <si>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</si>
  <si>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</si>
  <si>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</si>
  <si>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</si>
  <si>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</si>
  <si>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</si>
  <si>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</si>
  <si>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</si>
  <si>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</si>
  <si>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</si>
  <si>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</si>
  <si>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</si>
  <si>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</si>
  <si>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</si>
  <si>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</si>
  <si>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</si>
  <si>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</si>
  <si>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</si>
  <si>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</si>
  <si>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</si>
  <si>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</si>
  <si>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</si>
  <si>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</si>
  <si>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</si>
  <si>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</si>
  <si>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</si>
  <si>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</si>
  <si>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</si>
  <si>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</si>
  <si>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</si>
  <si>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</si>
  <si>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</si>
  <si>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</si>
  <si>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</si>
  <si>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</si>
  <si>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</si>
  <si>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</si>
  <si>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</si>
  <si>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</si>
  <si>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</si>
  <si>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</si>
  <si>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</si>
  <si>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</si>
  <si>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</si>
  <si>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</si>
  <si>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</si>
  <si>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</si>
  <si>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</si>
  <si>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</si>
  <si>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</si>
  <si>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</si>
  <si>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</si>
  <si>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</si>
  <si>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</si>
  <si>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</si>
  <si>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</si>
  <si>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</si>
  <si>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</si>
  <si>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</si>
  <si>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</si>
  <si>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</si>
  <si>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</si>
  <si>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</si>
  <si>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</si>
  <si>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</si>
  <si>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</si>
  <si>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</si>
  <si>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</si>
  <si>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</si>
  <si>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</si>
  <si>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</si>
  <si>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</si>
  <si>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</si>
  <si>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</si>
  <si>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</si>
  <si>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</si>
  <si>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</si>
  <si>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</si>
  <si>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</si>
  <si>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</si>
  <si>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</si>
  <si>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</si>
  <si>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</si>
  <si>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</si>
  <si>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</si>
  <si>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</si>
  <si>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</si>
  <si>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</si>
  <si>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</si>
  <si>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</si>
  <si>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</si>
  <si>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</si>
  <si>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</si>
  <si>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</si>
  <si>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</si>
  <si>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</si>
  <si>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</si>
  <si>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</si>
  <si>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</si>
  <si>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</si>
  <si>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</si>
  <si>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</si>
  <si>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</si>
  <si>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</si>
  <si>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</si>
  <si>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</si>
  <si>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</si>
  <si>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</si>
  <si>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</si>
  <si>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</si>
  <si>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</si>
  <si>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</si>
  <si>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</si>
  <si>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</si>
  <si>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</si>
  <si>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</si>
  <si>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</si>
  <si>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</si>
  <si>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</si>
  <si>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</si>
  <si>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</si>
  <si>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</si>
  <si>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</si>
  <si>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</si>
  <si>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</si>
  <si>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</si>
  <si>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</si>
  <si>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</si>
  <si>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</si>
  <si>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</si>
  <si>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</si>
  <si>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</si>
  <si>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</si>
  <si>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</si>
  <si>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</si>
  <si>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</si>
  <si>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</si>
  <si>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</si>
  <si>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</si>
  <si>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</si>
  <si>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</si>
  <si>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</si>
  <si>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</si>
  <si>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</si>
  <si>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</si>
  <si>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</si>
  <si>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</si>
  <si>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</si>
  <si>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</si>
  <si>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</si>
  <si>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</si>
  <si>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</si>
  <si>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</si>
  <si>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</si>
  <si>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</si>
  <si>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</si>
  <si>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</si>
  <si>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</si>
  <si>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</si>
  <si>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</si>
  <si>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</si>
  <si>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</si>
  <si>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</si>
  <si>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</si>
  <si>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</si>
  <si>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</si>
  <si>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</si>
  <si>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</si>
  <si>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</si>
  <si>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</si>
  <si>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</si>
  <si>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</si>
  <si>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</si>
  <si>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</si>
  <si>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</si>
  <si>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</si>
  <si>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</si>
  <si>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</si>
  <si>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</si>
  <si>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</si>
  <si>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</si>
  <si>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</si>
  <si>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</si>
  <si>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</si>
  <si>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</si>
  <si>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</si>
  <si>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</si>
  <si>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</si>
  <si>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</si>
  <si>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</si>
  <si>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</si>
  <si>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</si>
  <si>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</si>
  <si>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</si>
  <si>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</si>
  <si>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</si>
  <si>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</si>
  <si>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</si>
  <si>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</si>
  <si>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</si>
  <si>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</si>
  <si>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</si>
  <si>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</si>
  <si>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</si>
  <si>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</si>
  <si>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</si>
  <si>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</si>
  <si>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</si>
  <si>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</si>
  <si>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</si>
  <si>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</si>
  <si>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</si>
  <si>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</si>
  <si>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</si>
  <si>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</si>
  <si>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</si>
  <si>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</si>
  <si>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</si>
  <si>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</si>
  <si>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</si>
  <si>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</si>
  <si>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</si>
  <si>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</si>
  <si>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</si>
  <si>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</si>
  <si>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</si>
  <si>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</si>
  <si>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</si>
  <si>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</si>
  <si>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</si>
  <si>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</si>
  <si>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</si>
  <si>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</si>
  <si>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</si>
  <si>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</si>
  <si>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</si>
  <si>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</si>
  <si>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</si>
  <si>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</si>
  <si>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</si>
  <si>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</si>
  <si>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</si>
  <si>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</si>
  <si>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</si>
  <si>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</si>
  <si>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</si>
  <si>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</si>
  <si>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</si>
  <si>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</si>
  <si>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</si>
  <si>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</si>
  <si>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</si>
  <si>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</si>
  <si>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</si>
  <si>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</si>
  <si>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</si>
  <si>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</si>
  <si>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</si>
  <si>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</si>
  <si>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</si>
  <si>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</si>
  <si>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</si>
  <si>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</si>
  <si>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</si>
  <si>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</si>
  <si>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</si>
  <si>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</si>
  <si>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</si>
  <si>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</si>
  <si>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</si>
  <si>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</si>
  <si>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</si>
  <si>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</si>
  <si>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</si>
  <si>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</si>
  <si>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</si>
  <si>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</si>
  <si>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</si>
  <si>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</si>
  <si>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</si>
  <si>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</si>
  <si>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</si>
  <si>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</si>
  <si>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</si>
  <si>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</si>
  <si>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</si>
  <si>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</si>
  <si>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</si>
  <si>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</si>
  <si>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</si>
  <si>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</si>
  <si>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</si>
  <si>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</si>
  <si>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</si>
  <si>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</si>
  <si>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</si>
  <si>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</si>
  <si>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</si>
  <si>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</si>
  <si>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</si>
  <si>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</si>
  <si>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</si>
  <si>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</si>
  <si>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</si>
  <si>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</si>
  <si>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</si>
  <si>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</si>
  <si>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</si>
  <si>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</si>
  <si>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</si>
  <si>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</si>
  <si>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</si>
  <si>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</si>
  <si>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</si>
  <si>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</si>
  <si>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</si>
  <si>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</si>
  <si>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</si>
  <si>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</si>
  <si>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</si>
  <si>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</si>
  <si>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</si>
  <si>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</si>
  <si>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</si>
  <si>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</si>
  <si>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</si>
  <si>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</si>
  <si>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</si>
  <si>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</si>
  <si>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</si>
  <si>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</si>
  <si>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</si>
  <si>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</si>
  <si>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</si>
  <si>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</si>
  <si>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</si>
  <si>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</si>
  <si>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</si>
  <si>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</si>
  <si>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</si>
  <si>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</si>
  <si>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</si>
  <si>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</si>
  <si>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</si>
  <si>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</si>
  <si>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</si>
  <si>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</si>
  <si>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</si>
  <si>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</si>
  <si>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</si>
  <si>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</si>
  <si>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</si>
  <si>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</si>
  <si>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</si>
  <si>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</si>
  <si>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</si>
  <si>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</si>
  <si>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</si>
  <si>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</si>
  <si>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</si>
  <si>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</si>
  <si>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</si>
  <si>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</si>
  <si>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</si>
  <si>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</si>
  <si>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</si>
  <si>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</si>
  <si>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</si>
  <si>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</si>
  <si>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</si>
  <si>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</si>
  <si>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</si>
  <si>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</si>
  <si>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</si>
  <si>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</si>
  <si>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</si>
  <si>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</si>
  <si>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</si>
  <si>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</si>
  <si>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</si>
  <si>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</si>
  <si>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</si>
  <si>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</si>
  <si>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</si>
  <si>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</si>
  <si>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</si>
  <si>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</si>
  <si>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</si>
  <si>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</si>
  <si>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</si>
  <si>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</si>
  <si>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</si>
  <si>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</si>
  <si>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</si>
  <si>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</si>
  <si>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</si>
  <si>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</si>
  <si>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</si>
  <si>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</si>
  <si>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</si>
  <si>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</si>
  <si>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</si>
  <si>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</si>
  <si>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</si>
  <si>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</si>
  <si>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</si>
  <si>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</si>
  <si>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</si>
  <si>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</si>
  <si>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</si>
  <si>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</si>
  <si>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</si>
  <si>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</si>
  <si>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</si>
  <si>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</si>
  <si>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</si>
  <si>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</si>
  <si>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</si>
  <si>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</si>
  <si>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</si>
  <si>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</si>
  <si>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</si>
  <si>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</si>
  <si>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</si>
  <si>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</si>
  <si>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</si>
  <si>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</si>
  <si>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</si>
  <si>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</si>
  <si>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</si>
  <si>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</si>
  <si>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</si>
  <si>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</si>
  <si>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</si>
  <si>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</si>
  <si>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</si>
  <si>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</si>
  <si>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</si>
  <si>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</si>
  <si>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</si>
  <si>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</si>
  <si>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</si>
  <si>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</si>
  <si>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</si>
  <si>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</si>
  <si>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</si>
  <si>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</si>
  <si>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</si>
  <si>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</si>
  <si>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</si>
  <si>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</si>
  <si>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</si>
  <si>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</si>
  <si>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</si>
  <si>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</si>
  <si>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</si>
  <si>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</si>
  <si>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</si>
  <si>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</si>
  <si>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</si>
  <si>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</si>
  <si>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</si>
  <si>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</si>
  <si>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</si>
  <si>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</si>
  <si>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</si>
  <si>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</si>
  <si>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</si>
  <si>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</si>
  <si>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</si>
  <si>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</si>
  <si>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</si>
  <si>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</si>
  <si>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</si>
  <si>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</si>
  <si>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</si>
  <si>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</si>
  <si>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</si>
  <si>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</si>
  <si>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</si>
  <si>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</si>
  <si>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</si>
  <si>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</si>
  <si>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</si>
  <si>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</si>
  <si>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</si>
  <si>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</si>
  <si>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</si>
  <si>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</si>
  <si>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</si>
  <si>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</si>
  <si>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</si>
  <si>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</si>
  <si>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</si>
  <si>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</si>
  <si>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</si>
  <si>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</si>
  <si>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</si>
  <si>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</si>
  <si>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</si>
  <si>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</si>
  <si>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</si>
  <si>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</si>
  <si>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</si>
  <si>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</si>
  <si>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</si>
  <si>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</si>
  <si>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</si>
  <si>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</si>
  <si>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</si>
  <si>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</si>
  <si>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</si>
  <si>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</si>
  <si>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</si>
  <si>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</si>
  <si>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</si>
  <si>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</si>
  <si>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</si>
  <si>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</si>
  <si>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</si>
  <si>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</si>
  <si>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</si>
  <si>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</si>
  <si>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</si>
  <si>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</si>
  <si>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</si>
  <si>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</si>
  <si>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</si>
  <si>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</si>
  <si>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</si>
  <si>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</si>
  <si>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</si>
  <si>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</si>
  <si>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</si>
  <si>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</si>
  <si>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</si>
  <si>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</si>
  <si>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</si>
  <si>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</si>
  <si>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</si>
  <si>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</si>
  <si>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</si>
  <si>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</si>
  <si>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</si>
  <si>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</si>
  <si>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</si>
  <si>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</si>
  <si>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</si>
  <si>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</si>
  <si>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</si>
  <si>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</si>
  <si>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</si>
  <si>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</si>
  <si>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</si>
  <si>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</si>
  <si>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</si>
  <si>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</si>
  <si>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</si>
  <si>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</si>
  <si>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</si>
  <si>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</si>
  <si>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</si>
  <si>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</si>
  <si>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</si>
  <si>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</si>
  <si>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</si>
  <si>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</si>
  <si>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</si>
  <si>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</si>
  <si>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</si>
  <si>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</si>
  <si>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</si>
  <si>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</si>
  <si>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</si>
  <si>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</si>
  <si>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</si>
  <si>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</si>
  <si>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</si>
  <si>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</si>
  <si>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</si>
  <si>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</si>
  <si>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</si>
  <si>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</si>
  <si>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</si>
  <si>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</si>
  <si>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Arnold Magnetic Technologies</t>
  </si>
  <si>
    <t>Christopher Bacon</t>
  </si>
  <si>
    <t>cbacon@arnoldmagentics.com</t>
  </si>
  <si>
    <t>585-385-9010</t>
  </si>
  <si>
    <t>Tammy VanCamp</t>
  </si>
  <si>
    <t>Customer Service Manager - North America</t>
  </si>
  <si>
    <t>tvancamp@arnoldmagnetics.com</t>
  </si>
  <si>
    <t>CID002776</t>
  </si>
  <si>
    <t>CID000499</t>
  </si>
  <si>
    <t>Fujian Jinxin Tungsten Co., Ltd.</t>
  </si>
  <si>
    <t>Yanshi</t>
  </si>
  <si>
    <t>CID000760</t>
  </si>
  <si>
    <t>Huichang Jinshunda Tin Co., Ltd.</t>
  </si>
  <si>
    <t>Naoshima</t>
  </si>
  <si>
    <t>Asago</t>
  </si>
  <si>
    <t>RFH Tantalum Smeltery Co., Ltd./Yanling Jincheng Tantalum &amp; Niobium Co., Ltd.</t>
  </si>
  <si>
    <t>CID001977</t>
  </si>
  <si>
    <t>Umicore Brasil Ltda.</t>
  </si>
  <si>
    <t>Guarulhos</t>
  </si>
  <si>
    <t>CID002095</t>
  </si>
  <si>
    <t>Xinhai Rendan Shaoguan Tungsten Co., Ltd.</t>
  </si>
  <si>
    <t>Shaoguan</t>
  </si>
  <si>
    <t>CID002579</t>
  </si>
  <si>
    <t>Hunan Chuangda Vanadium Tungsten Co., Ltd. Wuji</t>
  </si>
  <si>
    <t>CID002647</t>
  </si>
  <si>
    <t>Jiangxi Dayu Longxintai Tungsten Co., Ltd.</t>
  </si>
  <si>
    <t>Huanglong</t>
  </si>
  <si>
    <t>MACEDONIA, THE FORMER YUGOSLAV REPUBLIC OF</t>
  </si>
  <si>
    <t>CID002849</t>
  </si>
  <si>
    <t>Guanyang Guida Nonferrous Metal Smelting Plant</t>
  </si>
  <si>
    <t>Guanyang</t>
  </si>
  <si>
    <t>CID003402</t>
  </si>
  <si>
    <t>CP Metals Inc.</t>
  </si>
  <si>
    <t>Warren</t>
  </si>
  <si>
    <t>CFSI</t>
  </si>
  <si>
    <t>Fujian</t>
  </si>
  <si>
    <t>Jiangxi</t>
  </si>
  <si>
    <t>Hunan</t>
  </si>
  <si>
    <t>Yunnan</t>
  </si>
  <si>
    <t>CID000291</t>
  </si>
  <si>
    <t>Conghua Tantalum and Niobium Smeltry</t>
  </si>
  <si>
    <t>Conghua</t>
  </si>
  <si>
    <t>Ningxia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</si>
</sst>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7">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bacon@arnoldmagentic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tvancamp@arnoldmagnetic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4"/>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2" sqref="B52"/>
    </sheetView>
  </sheetViews>
  <sheetFormatPr defaultColWidth="9" defaultRowHeight="12.3"/>
  <cols>
    <col min="1" max="1" width="0.85546875" style="113" customWidth="1"/>
    <col min="2" max="2" width="8" style="113" customWidth="1"/>
    <col min="3" max="3" width="8.6171875" style="113" customWidth="1"/>
    <col min="4" max="4" width="13" style="213" customWidth="1"/>
    <col min="5" max="5" width="42.37890625" style="113" customWidth="1"/>
    <col min="6" max="6" width="53.37890625" style="113" customWidth="1"/>
    <col min="7" max="7" width="0.85546875" style="113" customWidth="1"/>
    <col min="8" max="16384" width="9" style="113"/>
  </cols>
  <sheetData>
    <row r="1" spans="1:7" ht="12.6" thickTop="1">
      <c r="A1" s="9"/>
      <c r="B1" s="10"/>
      <c r="C1" s="10"/>
      <c r="D1" s="205"/>
      <c r="E1" s="10"/>
      <c r="F1" s="10"/>
      <c r="G1" s="11"/>
    </row>
    <row r="2" spans="1:7">
      <c r="A2" s="357"/>
      <c r="B2" s="38" t="s">
        <v>847</v>
      </c>
      <c r="C2" s="36"/>
      <c r="D2" s="206"/>
      <c r="E2" s="3"/>
      <c r="F2" s="36"/>
      <c r="G2" s="34"/>
    </row>
    <row r="3" spans="1:7">
      <c r="A3" s="357"/>
      <c r="B3" s="5" t="s">
        <v>839</v>
      </c>
      <c r="C3" s="6"/>
      <c r="D3" s="207"/>
      <c r="E3" s="3"/>
      <c r="F3" s="6"/>
      <c r="G3" s="34"/>
    </row>
    <row r="4" spans="1:7" ht="15">
      <c r="A4" s="357"/>
      <c r="B4" s="41" t="s">
        <v>849</v>
      </c>
      <c r="C4" s="7"/>
      <c r="D4" s="208"/>
      <c r="E4" s="3"/>
      <c r="F4" s="7"/>
      <c r="G4" s="34"/>
    </row>
    <row r="5" spans="1:7">
      <c r="A5" s="357"/>
      <c r="B5" s="40" t="s">
        <v>1040</v>
      </c>
      <c r="C5" s="4"/>
      <c r="D5" s="209"/>
      <c r="E5" s="3"/>
      <c r="F5" s="4"/>
      <c r="G5" s="34"/>
    </row>
    <row r="6" spans="1:7">
      <c r="A6" s="357"/>
      <c r="B6" s="8"/>
      <c r="C6" s="8"/>
      <c r="D6" s="210"/>
      <c r="E6" s="8"/>
      <c r="F6" s="8"/>
      <c r="G6" s="34"/>
    </row>
    <row r="7" spans="1:7">
      <c r="A7" s="357"/>
      <c r="B7" s="8"/>
      <c r="C7" s="8"/>
      <c r="D7" s="210"/>
      <c r="E7" s="8"/>
      <c r="F7" s="8"/>
      <c r="G7" s="34"/>
    </row>
    <row r="8" spans="1:7">
      <c r="A8" s="357"/>
      <c r="B8" s="8"/>
      <c r="C8" s="8"/>
      <c r="D8" s="210"/>
      <c r="E8" s="8"/>
      <c r="F8" s="8"/>
      <c r="G8" s="34"/>
    </row>
    <row r="9" spans="1:7">
      <c r="A9" s="357"/>
      <c r="B9" s="360" t="s">
        <v>850</v>
      </c>
      <c r="C9" s="360"/>
      <c r="D9" s="360"/>
      <c r="E9" s="360"/>
      <c r="F9" s="360"/>
      <c r="G9" s="34"/>
    </row>
    <row r="10" spans="1:7" ht="27" customHeight="1">
      <c r="A10" s="357"/>
      <c r="B10" s="361" t="s">
        <v>438</v>
      </c>
      <c r="C10" s="361"/>
      <c r="D10" s="361"/>
      <c r="E10" s="361"/>
      <c r="F10" s="361"/>
      <c r="G10" s="34"/>
    </row>
    <row r="11" spans="1:7" ht="27" customHeight="1">
      <c r="A11" s="357"/>
      <c r="B11" s="362"/>
      <c r="C11" s="362"/>
      <c r="D11" s="362"/>
      <c r="E11" s="362"/>
      <c r="F11" s="362"/>
      <c r="G11" s="34"/>
    </row>
    <row r="12" spans="1:7">
      <c r="A12" s="357"/>
      <c r="B12" s="42" t="s">
        <v>848</v>
      </c>
      <c r="C12" s="43" t="s">
        <v>851</v>
      </c>
      <c r="D12" s="211" t="s">
        <v>852</v>
      </c>
      <c r="E12" s="43" t="s">
        <v>612</v>
      </c>
      <c r="F12" s="43" t="s">
        <v>613</v>
      </c>
      <c r="G12" s="34"/>
    </row>
    <row r="13" spans="1:7" ht="30.6">
      <c r="A13" s="357"/>
      <c r="B13" s="2">
        <v>1</v>
      </c>
      <c r="C13" s="37" t="s">
        <v>1088</v>
      </c>
      <c r="D13" s="39" t="s">
        <v>876</v>
      </c>
      <c r="E13" s="194" t="s">
        <v>853</v>
      </c>
      <c r="F13" s="194"/>
      <c r="G13" s="34"/>
    </row>
    <row r="14" spans="1:7" ht="30.6">
      <c r="A14" s="357"/>
      <c r="B14" s="2">
        <v>2</v>
      </c>
      <c r="C14" s="37" t="s">
        <v>1088</v>
      </c>
      <c r="D14" s="39" t="s">
        <v>1025</v>
      </c>
      <c r="E14" s="194" t="s">
        <v>530</v>
      </c>
      <c r="F14" s="194" t="s">
        <v>531</v>
      </c>
      <c r="G14" s="34"/>
    </row>
    <row r="15" spans="1:7" ht="89.1" customHeight="1">
      <c r="A15" s="357"/>
      <c r="B15" s="363">
        <v>2.0099999999999998</v>
      </c>
      <c r="C15" s="354" t="s">
        <v>1088</v>
      </c>
      <c r="D15" s="366" t="s">
        <v>2265</v>
      </c>
      <c r="E15" s="195" t="s">
        <v>614</v>
      </c>
      <c r="F15" s="195" t="s">
        <v>617</v>
      </c>
      <c r="G15" s="34"/>
    </row>
    <row r="16" spans="1:7" ht="99" customHeight="1">
      <c r="A16" s="357"/>
      <c r="B16" s="364"/>
      <c r="C16" s="355"/>
      <c r="D16" s="367"/>
      <c r="E16" s="196"/>
      <c r="F16" s="196" t="s">
        <v>615</v>
      </c>
      <c r="G16" s="34"/>
    </row>
    <row r="17" spans="1:7" ht="63" customHeight="1">
      <c r="A17" s="357"/>
      <c r="B17" s="365"/>
      <c r="C17" s="356"/>
      <c r="D17" s="368"/>
      <c r="E17" s="37"/>
      <c r="F17" s="37" t="s">
        <v>616</v>
      </c>
      <c r="G17" s="34"/>
    </row>
    <row r="18" spans="1:7" ht="117" customHeight="1">
      <c r="A18" s="357"/>
      <c r="B18" s="363">
        <v>2.02</v>
      </c>
      <c r="C18" s="354" t="s">
        <v>1088</v>
      </c>
      <c r="D18" s="366" t="s">
        <v>2266</v>
      </c>
      <c r="E18" s="195" t="s">
        <v>439</v>
      </c>
      <c r="F18" s="195" t="s">
        <v>525</v>
      </c>
      <c r="G18" s="34"/>
    </row>
    <row r="19" spans="1:7" ht="71.099999999999994" customHeight="1">
      <c r="A19" s="357"/>
      <c r="B19" s="364"/>
      <c r="C19" s="355"/>
      <c r="D19" s="367"/>
      <c r="E19" s="196" t="s">
        <v>529</v>
      </c>
      <c r="F19" s="196" t="s">
        <v>440</v>
      </c>
      <c r="G19" s="34"/>
    </row>
    <row r="20" spans="1:7" ht="90.75" customHeight="1">
      <c r="A20" s="357"/>
      <c r="B20" s="364"/>
      <c r="C20" s="355"/>
      <c r="D20" s="367"/>
      <c r="E20" s="196"/>
      <c r="F20" s="196" t="s">
        <v>619</v>
      </c>
      <c r="G20" s="34"/>
    </row>
    <row r="21" spans="1:7" ht="74.25" customHeight="1">
      <c r="A21" s="357"/>
      <c r="B21" s="365"/>
      <c r="C21" s="356"/>
      <c r="D21" s="368"/>
      <c r="E21" s="37"/>
      <c r="F21" s="37" t="s">
        <v>618</v>
      </c>
      <c r="G21" s="34"/>
    </row>
    <row r="22" spans="1:7" ht="90" customHeight="1">
      <c r="A22" s="357"/>
      <c r="B22" s="372">
        <v>2.0299999999999998</v>
      </c>
      <c r="C22" s="372" t="s">
        <v>822</v>
      </c>
      <c r="D22" s="375" t="s">
        <v>2267</v>
      </c>
      <c r="E22" s="354" t="s">
        <v>437</v>
      </c>
      <c r="F22" s="195" t="s">
        <v>460</v>
      </c>
      <c r="G22" s="34"/>
    </row>
    <row r="23" spans="1:7" ht="109.5" customHeight="1">
      <c r="A23" s="357"/>
      <c r="B23" s="373"/>
      <c r="C23" s="373"/>
      <c r="D23" s="376"/>
      <c r="E23" s="355"/>
      <c r="F23" s="196" t="s">
        <v>823</v>
      </c>
      <c r="G23" s="34"/>
    </row>
    <row r="24" spans="1:7" ht="74.25" customHeight="1">
      <c r="A24" s="357"/>
      <c r="B24" s="374"/>
      <c r="C24" s="374"/>
      <c r="D24" s="377"/>
      <c r="E24" s="356"/>
      <c r="F24" s="37" t="s">
        <v>436</v>
      </c>
      <c r="G24" s="34"/>
    </row>
    <row r="25" spans="1:7" ht="72" customHeight="1">
      <c r="A25" s="357"/>
      <c r="B25" s="2" t="s">
        <v>458</v>
      </c>
      <c r="C25" s="37" t="s">
        <v>459</v>
      </c>
      <c r="D25" s="39" t="s">
        <v>2268</v>
      </c>
      <c r="E25" s="37" t="s">
        <v>2263</v>
      </c>
      <c r="F25" s="37" t="s">
        <v>461</v>
      </c>
      <c r="G25" s="34"/>
    </row>
    <row r="26" spans="1:7" ht="98.1" customHeight="1">
      <c r="A26" s="357"/>
      <c r="B26" s="369">
        <v>3</v>
      </c>
      <c r="C26" s="363" t="s">
        <v>70</v>
      </c>
      <c r="D26" s="366" t="s">
        <v>2269</v>
      </c>
      <c r="E26" s="354" t="s">
        <v>0</v>
      </c>
      <c r="F26" s="195" t="s">
        <v>64</v>
      </c>
      <c r="G26" s="34"/>
    </row>
    <row r="27" spans="1:7" ht="90" customHeight="1">
      <c r="A27" s="357"/>
      <c r="B27" s="370"/>
      <c r="C27" s="364"/>
      <c r="D27" s="367"/>
      <c r="E27" s="355"/>
      <c r="F27" s="196" t="s">
        <v>59</v>
      </c>
      <c r="G27" s="34"/>
    </row>
    <row r="28" spans="1:7" ht="19.350000000000001" customHeight="1">
      <c r="A28" s="357"/>
      <c r="B28" s="370"/>
      <c r="C28" s="364"/>
      <c r="D28" s="367"/>
      <c r="E28" s="355"/>
      <c r="F28" s="196" t="s">
        <v>60</v>
      </c>
      <c r="G28" s="34"/>
    </row>
    <row r="29" spans="1:7" ht="74.5" customHeight="1">
      <c r="A29" s="357"/>
      <c r="B29" s="370"/>
      <c r="C29" s="364"/>
      <c r="D29" s="367"/>
      <c r="E29" s="355"/>
      <c r="F29" s="196" t="s">
        <v>61</v>
      </c>
      <c r="G29" s="34"/>
    </row>
    <row r="30" spans="1:7" ht="62.5" customHeight="1">
      <c r="A30" s="357"/>
      <c r="B30" s="370"/>
      <c r="C30" s="364"/>
      <c r="D30" s="367"/>
      <c r="E30" s="355"/>
      <c r="F30" s="196" t="s">
        <v>62</v>
      </c>
      <c r="G30" s="34"/>
    </row>
    <row r="31" spans="1:7" ht="81" customHeight="1">
      <c r="A31" s="357"/>
      <c r="B31" s="370"/>
      <c r="C31" s="364"/>
      <c r="D31" s="367"/>
      <c r="E31" s="355"/>
      <c r="F31" s="196" t="s">
        <v>63</v>
      </c>
      <c r="G31" s="34"/>
    </row>
    <row r="32" spans="1:7" ht="48.75" customHeight="1">
      <c r="A32" s="357"/>
      <c r="B32" s="370"/>
      <c r="C32" s="364"/>
      <c r="D32" s="367"/>
      <c r="E32" s="355"/>
      <c r="F32" s="196" t="s">
        <v>66</v>
      </c>
      <c r="G32" s="34"/>
    </row>
    <row r="33" spans="1:7" ht="98.5" customHeight="1">
      <c r="A33" s="357"/>
      <c r="B33" s="370"/>
      <c r="C33" s="364"/>
      <c r="D33" s="367"/>
      <c r="E33" s="355"/>
      <c r="F33" s="196" t="s">
        <v>65</v>
      </c>
      <c r="G33" s="34"/>
    </row>
    <row r="34" spans="1:7" ht="89.1" customHeight="1">
      <c r="A34" s="357"/>
      <c r="B34" s="370"/>
      <c r="C34" s="364"/>
      <c r="D34" s="367"/>
      <c r="E34" s="355"/>
      <c r="F34" s="196" t="s">
        <v>67</v>
      </c>
      <c r="G34" s="34"/>
    </row>
    <row r="35" spans="1:7" ht="29.1" customHeight="1">
      <c r="A35" s="357"/>
      <c r="B35" s="370"/>
      <c r="C35" s="364"/>
      <c r="D35" s="367"/>
      <c r="E35" s="355"/>
      <c r="F35" s="196" t="s">
        <v>68</v>
      </c>
      <c r="G35" s="34"/>
    </row>
    <row r="36" spans="1:7" ht="119.4">
      <c r="A36" s="357"/>
      <c r="B36" s="371"/>
      <c r="C36" s="365"/>
      <c r="D36" s="368"/>
      <c r="E36" s="356"/>
      <c r="F36" s="197" t="s">
        <v>69</v>
      </c>
      <c r="G36" s="34"/>
    </row>
    <row r="37" spans="1:7" ht="102">
      <c r="A37" s="357"/>
      <c r="B37" s="170">
        <v>3.01</v>
      </c>
      <c r="C37" s="171" t="s">
        <v>70</v>
      </c>
      <c r="D37" s="39" t="s">
        <v>2270</v>
      </c>
      <c r="E37" s="198" t="s">
        <v>1328</v>
      </c>
      <c r="F37" s="199" t="s">
        <v>1434</v>
      </c>
      <c r="G37" s="34"/>
    </row>
    <row r="38" spans="1:7" ht="91.8">
      <c r="A38" s="357"/>
      <c r="B38" s="170">
        <v>3.02</v>
      </c>
      <c r="C38" s="171" t="s">
        <v>1361</v>
      </c>
      <c r="D38" s="39" t="s">
        <v>2271</v>
      </c>
      <c r="E38" s="198" t="s">
        <v>1376</v>
      </c>
      <c r="F38" s="199" t="s">
        <v>1435</v>
      </c>
      <c r="G38" s="34"/>
    </row>
    <row r="39" spans="1:7" ht="91.8">
      <c r="A39" s="357"/>
      <c r="B39" s="180">
        <v>4</v>
      </c>
      <c r="C39" s="179" t="s">
        <v>1531</v>
      </c>
      <c r="D39" s="39" t="s">
        <v>2272</v>
      </c>
      <c r="E39" s="37" t="s">
        <v>2215</v>
      </c>
      <c r="F39" s="37" t="s">
        <v>1532</v>
      </c>
      <c r="G39" s="34"/>
    </row>
    <row r="40" spans="1:7" ht="51">
      <c r="A40" s="357"/>
      <c r="B40" s="170">
        <v>4.01</v>
      </c>
      <c r="C40" s="179" t="s">
        <v>1531</v>
      </c>
      <c r="D40" s="39" t="s">
        <v>2274</v>
      </c>
      <c r="E40" s="37" t="s">
        <v>2229</v>
      </c>
      <c r="F40" s="37" t="s">
        <v>2233</v>
      </c>
      <c r="G40" s="34"/>
    </row>
    <row r="41" spans="1:7" ht="51">
      <c r="A41" s="357"/>
      <c r="B41" s="170" t="s">
        <v>2261</v>
      </c>
      <c r="C41" s="179" t="s">
        <v>1531</v>
      </c>
      <c r="D41" s="39" t="s">
        <v>2273</v>
      </c>
      <c r="E41" s="37" t="s">
        <v>2264</v>
      </c>
      <c r="F41" s="37" t="s">
        <v>2262</v>
      </c>
      <c r="G41" s="34"/>
    </row>
    <row r="42" spans="1:7" ht="51">
      <c r="A42" s="357"/>
      <c r="B42" s="170" t="s">
        <v>2299</v>
      </c>
      <c r="C42" s="179" t="s">
        <v>1531</v>
      </c>
      <c r="D42" s="39" t="s">
        <v>2306</v>
      </c>
      <c r="E42" s="37" t="s">
        <v>2263</v>
      </c>
      <c r="F42" s="37" t="s">
        <v>2300</v>
      </c>
      <c r="G42" s="34"/>
    </row>
    <row r="43" spans="1:7" ht="112.2">
      <c r="A43" s="357"/>
      <c r="B43" s="191">
        <v>4.0999999999999996</v>
      </c>
      <c r="C43" s="179" t="s">
        <v>2305</v>
      </c>
      <c r="D43" s="192">
        <v>42867</v>
      </c>
      <c r="E43" s="200" t="s">
        <v>2308</v>
      </c>
      <c r="F43" s="37" t="s">
        <v>2307</v>
      </c>
      <c r="G43" s="34"/>
    </row>
    <row r="44" spans="1:7" ht="71.400000000000006">
      <c r="A44" s="357"/>
      <c r="B44" s="191">
        <v>4.2</v>
      </c>
      <c r="C44" s="179" t="s">
        <v>2305</v>
      </c>
      <c r="D44" s="192">
        <v>42704</v>
      </c>
      <c r="E44" s="200" t="s">
        <v>2510</v>
      </c>
      <c r="F44" s="37" t="s">
        <v>2485</v>
      </c>
      <c r="G44" s="34"/>
    </row>
    <row r="45" spans="1:7" ht="132.6">
      <c r="A45" s="357"/>
      <c r="B45" s="240">
        <v>5</v>
      </c>
      <c r="C45" s="179" t="s">
        <v>2305</v>
      </c>
      <c r="D45" s="192">
        <v>42867</v>
      </c>
      <c r="E45" s="200" t="s">
        <v>12917</v>
      </c>
      <c r="F45" s="37" t="s">
        <v>12639</v>
      </c>
      <c r="G45" s="34"/>
    </row>
    <row r="46" spans="1:7" ht="40.799999999999997">
      <c r="A46" s="357"/>
      <c r="B46" s="191">
        <v>5.01</v>
      </c>
      <c r="C46" s="179" t="s">
        <v>2305</v>
      </c>
      <c r="D46" s="192">
        <v>42907</v>
      </c>
      <c r="E46" s="200" t="s">
        <v>12935</v>
      </c>
      <c r="F46" s="37" t="s">
        <v>12639</v>
      </c>
      <c r="G46" s="34"/>
    </row>
    <row r="47" spans="1:7" ht="61.2">
      <c r="A47" s="357"/>
      <c r="B47" s="191">
        <v>5.0999999999999996</v>
      </c>
      <c r="C47" s="179" t="s">
        <v>2305</v>
      </c>
      <c r="D47" s="192">
        <v>43070</v>
      </c>
      <c r="E47" s="200" t="s">
        <v>13129</v>
      </c>
      <c r="F47" s="37" t="s">
        <v>13130</v>
      </c>
      <c r="G47" s="34"/>
    </row>
    <row r="48" spans="1:7" ht="51">
      <c r="A48" s="357"/>
      <c r="B48" s="191">
        <v>5.1100000000000003</v>
      </c>
      <c r="C48" s="179" t="s">
        <v>13371</v>
      </c>
      <c r="D48" s="192">
        <v>43217</v>
      </c>
      <c r="E48" s="200" t="s">
        <v>13499</v>
      </c>
      <c r="F48" s="37" t="s">
        <v>13405</v>
      </c>
      <c r="G48" s="34"/>
    </row>
    <row r="49" spans="1:7" ht="51">
      <c r="A49" s="357"/>
      <c r="B49" s="191">
        <v>5.12</v>
      </c>
      <c r="C49" s="179" t="s">
        <v>13371</v>
      </c>
      <c r="D49" s="192">
        <v>43581</v>
      </c>
      <c r="E49" s="200" t="s">
        <v>13499</v>
      </c>
      <c r="F49" s="37" t="s">
        <v>14064</v>
      </c>
      <c r="G49" s="34"/>
    </row>
    <row r="50" spans="1:7" ht="71.400000000000006">
      <c r="A50" s="357"/>
      <c r="B50" s="240">
        <v>6</v>
      </c>
      <c r="C50" s="179" t="s">
        <v>13371</v>
      </c>
      <c r="D50" s="192">
        <v>43964</v>
      </c>
      <c r="E50" s="200" t="s">
        <v>14291</v>
      </c>
      <c r="F50" s="37" t="s">
        <v>14074</v>
      </c>
      <c r="G50" s="34"/>
    </row>
    <row r="51" spans="1:7" ht="40.799999999999997">
      <c r="A51" s="357"/>
      <c r="B51" s="191">
        <v>6.01</v>
      </c>
      <c r="C51" s="179" t="s">
        <v>13371</v>
      </c>
      <c r="D51" s="192">
        <v>43970</v>
      </c>
      <c r="E51" s="200" t="s">
        <v>15309</v>
      </c>
      <c r="F51" s="200" t="s">
        <v>14074</v>
      </c>
      <c r="G51" s="34"/>
    </row>
    <row r="52" spans="1:7" ht="40.799999999999997">
      <c r="A52" s="357"/>
      <c r="B52" s="191">
        <v>6.1</v>
      </c>
      <c r="C52" s="179" t="s">
        <v>13371</v>
      </c>
      <c r="D52" s="192">
        <v>44314</v>
      </c>
      <c r="E52" s="200" t="s">
        <v>15314</v>
      </c>
      <c r="F52" s="200" t="s">
        <v>15319</v>
      </c>
      <c r="G52" s="34"/>
    </row>
    <row r="53" spans="1:7" ht="12.6" thickBot="1">
      <c r="A53" s="358"/>
      <c r="B53" s="359" t="str">
        <f ca="1">OFFSET(L!$C$1,MATCH("General"&amp;"Cpy",L!$A:$A,0)-1,SL,,)</f>
        <v>© 2021 Responsible Minerals Initiative. All rights reserved.</v>
      </c>
      <c r="C53" s="359"/>
      <c r="D53" s="359"/>
      <c r="E53" s="359"/>
      <c r="F53" s="359"/>
      <c r="G53" s="35"/>
    </row>
    <row r="54" spans="1:7" ht="12.6"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5546875" defaultRowHeight="12.3"/>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29.4">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4.7">
      <c r="A5" s="125"/>
      <c r="B5" s="114"/>
    </row>
    <row r="6" spans="1:2" ht="29.4">
      <c r="A6" s="124" t="str">
        <f ca="1">OFFSET(L!$C$1,MATCH("Instructions"&amp;ADDRESS(ROW(),COLUMN(),4),L!$A:$A,0)-1,SL,,)</f>
        <v>Instructions for completing Company Information questions (rows 8 - 22).
Provide comments in ENGLISH only</v>
      </c>
      <c r="B6" s="114" t="s">
        <v>1304</v>
      </c>
    </row>
    <row r="7" spans="1:2" ht="14.7">
      <c r="A7" s="289" t="str">
        <f ca="1">OFFSET(L!$C$1,MATCH("Instructions"&amp;ADDRESS(ROW(),COLUMN(),4),L!$A:$A,0)-1,SL,,)</f>
        <v xml:space="preserve">Note:  Entries with (*) are mandatory fields. </v>
      </c>
      <c r="B7" s="114"/>
    </row>
    <row r="8" spans="1:2" ht="29.4">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29.4">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29.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4.1">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4.7">
      <c r="A17" s="121" t="str">
        <f ca="1">OFFSET(L!$C$1,MATCH("Instructions"&amp;ADDRESS(ROW(),COLUMN(),4),L!$A:$A,0)-1,SL,,)</f>
        <v>10. Insert the title for the Authorizing person. This field is optional.</v>
      </c>
      <c r="B17" s="114"/>
    </row>
    <row r="18" spans="1:2" ht="29.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4.7">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29.4">
      <c r="A21" s="121" t="str">
        <f ca="1">OFFSET(L!$C$1,MATCH("Instructions"&amp;ADDRESS(ROW(),COLUMN(),4),L!$A:$A,0)-1,SL,,)</f>
        <v xml:space="preserve">14. As an example, the user may save the file name as:  companyname-date.xls (date as YYYY-MM-DD).  </v>
      </c>
      <c r="B21" s="114" t="s">
        <v>1304</v>
      </c>
    </row>
    <row r="22" spans="1:2" ht="14.7">
      <c r="A22" s="125"/>
      <c r="B22" s="114"/>
    </row>
    <row r="23" spans="1:2" ht="29.4">
      <c r="A23" s="124" t="str">
        <f ca="1">OFFSET(L!$C$1,MATCH("Instructions"&amp;ADDRESS(ROW(),COLUMN(),4),L!$A:$A,0)-1,SL,,)</f>
        <v>Instructions for completing the eight Due Diligence Questions (rows 24 - 71).
Provide answers in ENGLISH only</v>
      </c>
      <c r="B23" s="114" t="s">
        <v>1304</v>
      </c>
    </row>
    <row r="24" spans="1:2" ht="80.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29.4">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2.30000000000001">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76.4">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3.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58.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4.7">
      <c r="A36" s="125"/>
      <c r="B36" s="114"/>
    </row>
    <row r="37" spans="1:2" ht="44.1">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2.30000000000001">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58.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3.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76.4">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47">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2.30000000000001">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17.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4.7">
      <c r="A47" s="125"/>
      <c r="B47" s="114"/>
    </row>
    <row r="48" spans="1:2" ht="29.4">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58.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5" customHeight="1">
      <c r="A52" s="121" t="str">
        <f ca="1">OFFSET(L!$C$1,MATCH("Instructions"&amp;ADDRESS(ROW(),COLUMN(),4),L!$A:$A,0)-1,SL,,)</f>
        <v>2. Metal (*)   -   Use the pull down menu to select the metal for which you are entering smelter information.  This field is mandatory.</v>
      </c>
      <c r="B52" s="114"/>
    </row>
    <row r="53" spans="1:2" ht="79"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58.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3.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58.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58.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58.8">
      <c r="A58" s="121" t="str">
        <f ca="1">OFFSET(L!$C$1,MATCH("Instructions"&amp;ADDRESS(ROW(),COLUMN(),4),L!$A:$A,0)-1,SL,,)</f>
        <v>8. Smelter Street -  Provide the street name on which the smelter is located. This field is optional.</v>
      </c>
      <c r="B58" s="114" t="s">
        <v>1303</v>
      </c>
    </row>
    <row r="59" spans="1:2" ht="29.4">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61.69999999999999">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58.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9"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4.7">
      <c r="A67" s="126"/>
      <c r="B67" s="114"/>
    </row>
    <row r="68" spans="1:2" s="28" customFormat="1" ht="34.5" customHeight="1">
      <c r="A68" s="124" t="str">
        <f ca="1">OFFSET(L!$C$1,MATCH("Instructions"&amp;ADDRESS(ROW(),COLUMN(),4),L!$A:$A,0)-1,SL,,)</f>
        <v>TERMS AND CONDITIONS</v>
      </c>
      <c r="B68" s="114"/>
    </row>
    <row r="69" spans="1:2" s="28" customFormat="1" ht="14.7">
      <c r="A69" s="126"/>
      <c r="B69" s="114"/>
    </row>
    <row r="70" spans="1:2" ht="80.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2"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3.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29.4">
      <c r="A74" s="121"/>
      <c r="B74" s="114" t="s">
        <v>441</v>
      </c>
    </row>
    <row r="75" spans="1:2" ht="14.7">
      <c r="A75" s="121" t="str">
        <f ca="1">OFFSET(L!$C$1,MATCH("General"&amp;"Cpy",L!$A:$A,0)-1,SL,,)</f>
        <v>© 2021 Responsible Minerals Initiative. All rights reserved.</v>
      </c>
      <c r="B75" s="115"/>
    </row>
    <row r="76" spans="1:2" ht="14.7">
      <c r="A76" s="122" t="s">
        <v>1035</v>
      </c>
      <c r="B76" s="115"/>
    </row>
    <row r="77" spans="1:2" ht="1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5546875" defaultRowHeight="12.3"/>
  <cols>
    <col min="1" max="1" width="1.6171875" style="113" customWidth="1"/>
    <col min="2" max="2" width="35.6171875" style="113" customWidth="1"/>
    <col min="3" max="3" width="105.6171875" style="113" customWidth="1"/>
    <col min="4" max="5" width="1.6171875" style="113" customWidth="1"/>
    <col min="6" max="6" width="4.6171875" style="113" customWidth="1"/>
    <col min="7" max="7" width="4.85546875" style="113" customWidth="1"/>
    <col min="8" max="16384" width="8.85546875" style="113"/>
  </cols>
  <sheetData>
    <row r="1" spans="1:5" ht="12.6" thickTop="1">
      <c r="A1" s="378"/>
      <c r="B1" s="379"/>
      <c r="C1" s="379"/>
      <c r="D1" s="380"/>
    </row>
    <row r="2" spans="1:5" ht="71.25" customHeight="1">
      <c r="A2" s="87"/>
      <c r="B2" s="166" t="str">
        <f ca="1">OFFSET(L!$C$1,MATCH("Definitions"&amp;ADDRESS(ROW(),COLUMN(),4),L!$A:$A,0)-1,SL,,)</f>
        <v>ITEM</v>
      </c>
      <c r="C2" s="166" t="str">
        <f ca="1">OFFSET(L!$C$1,MATCH("Definitions"&amp;ADDRESS(ROW(),COLUMN(),4),L!$A:$A,0)-1,SL,,)</f>
        <v>DEFINITION</v>
      </c>
      <c r="D2" s="382"/>
      <c r="E2" s="127"/>
    </row>
    <row r="3" spans="1:5" ht="64" customHeight="1">
      <c r="A3" s="87"/>
      <c r="B3" s="74" t="str">
        <f ca="1">OFFSET(L!$C$1,MATCH("Definitions"&amp;ADDRESS(ROW(),COLUMN(),4),L!$A:$A,0)-1,SL,,)</f>
        <v>3TG</v>
      </c>
      <c r="C3" s="74" t="str">
        <f ca="1">OFFSET(L!$C$1,MATCH("Definitions"&amp;ADDRESS(ROW(),COLUMN(),4),L!$A:$A,0)-1,SL,,)</f>
        <v>Tantalum, tin, tungsten, gold</v>
      </c>
      <c r="D3" s="382"/>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2"/>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2"/>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2"/>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2"/>
      <c r="E7" s="128" t="s">
        <v>1313</v>
      </c>
    </row>
    <row r="8" spans="1:5" ht="132.30000000000001">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2"/>
      <c r="E8" s="128" t="s">
        <v>1316</v>
      </c>
    </row>
    <row r="9" spans="1:5" ht="58.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2"/>
      <c r="E9" s="128" t="s">
        <v>1313</v>
      </c>
    </row>
    <row r="10" spans="1:5" ht="44.1">
      <c r="A10" s="87"/>
      <c r="B10" s="74" t="str">
        <f ca="1">OFFSET(L!$C$1,MATCH("Definitions"&amp;ADDRESS(ROW(),COLUMN(),4),L!$A:$A,0)-1,SL,,)</f>
        <v>DRC</v>
      </c>
      <c r="C10" s="74" t="str">
        <f ca="1">OFFSET(L!$C$1,MATCH("Definitions"&amp;ADDRESS(ROW(),COLUMN(),4),L!$A:$A,0)-1,SL,,)</f>
        <v>Democratic Republic of Congo</v>
      </c>
      <c r="D10" s="382"/>
      <c r="E10" s="128" t="s">
        <v>1312</v>
      </c>
    </row>
    <row r="11" spans="1:5" ht="58.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2"/>
      <c r="E11" s="128" t="s">
        <v>1312</v>
      </c>
    </row>
    <row r="12" spans="1:5" ht="58.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2"/>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2"/>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2"/>
      <c r="E14" s="128" t="s">
        <v>1312</v>
      </c>
    </row>
    <row r="15" spans="1:5" ht="143.5"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2"/>
      <c r="E15" s="128" t="s">
        <v>1312</v>
      </c>
    </row>
    <row r="16" spans="1:5" ht="58.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2"/>
      <c r="E16" s="128" t="s">
        <v>1312</v>
      </c>
    </row>
    <row r="17" spans="1:5" ht="176.4">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2"/>
      <c r="E17" s="128" t="s">
        <v>1312</v>
      </c>
    </row>
    <row r="18" spans="1:5" ht="147">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2"/>
      <c r="E18" s="128" t="s">
        <v>1312</v>
      </c>
    </row>
    <row r="19" spans="1:5" ht="14.7">
      <c r="A19" s="87"/>
      <c r="B19" s="74" t="str">
        <f ca="1">OFFSET(L!$C$1,MATCH("Definitions"&amp;ADDRESS(ROW(),COLUMN(),4),L!$A:$A,0)-1,SL,,)</f>
        <v>OECD</v>
      </c>
      <c r="C19" s="74" t="str">
        <f ca="1">OFFSET(L!$C$1,MATCH("Definitions"&amp;ADDRESS(ROW(),COLUMN(),4),L!$A:$A,0)-1,SL,,)</f>
        <v>Organisation for Economic Co-operation and Development</v>
      </c>
      <c r="D19" s="382"/>
      <c r="E19" s="128"/>
    </row>
    <row r="20" spans="1:5" ht="29.4">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2"/>
      <c r="E20" s="128"/>
    </row>
    <row r="21" spans="1:5" ht="14.7">
      <c r="A21" s="87"/>
      <c r="B21" s="74" t="str">
        <f ca="1">OFFSET(L!$C$1,MATCH("Definitions"&amp;ADDRESS(ROW(),COLUMN(),4),L!$A:$A,0)-1,SL,,)</f>
        <v>RBA</v>
      </c>
      <c r="C21" s="74" t="str">
        <f ca="1">OFFSET(L!$C$1,MATCH("Definitions"&amp;ADDRESS(ROW(),COLUMN(),4),L!$A:$A,0)-1,SL,,)</f>
        <v>Responsible Business Alliance (www.responsiblebusiness.org)</v>
      </c>
      <c r="D21" s="382"/>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2"/>
      <c r="E22" s="128"/>
    </row>
    <row r="23" spans="1:5" ht="58.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2"/>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2"/>
      <c r="E24" s="128"/>
    </row>
    <row r="25" spans="1:5" ht="154"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2"/>
      <c r="E25" s="128" t="s">
        <v>1312</v>
      </c>
    </row>
    <row r="26" spans="1:5" ht="73.5">
      <c r="A26" s="87"/>
      <c r="B26" s="74" t="str">
        <f ca="1">OFFSET(L!$C$1,MATCH("Definitions"&amp;ADDRESS(ROW(),COLUMN(),4),L!$A:$A,0)-1,SL,,)</f>
        <v>SEC</v>
      </c>
      <c r="C26" s="74" t="str">
        <f ca="1">OFFSET(L!$C$1,MATCH("Definitions"&amp;ADDRESS(ROW(),COLUMN(),4),L!$A:$A,0)-1,SL,,)</f>
        <v>U.S. Securities and Exchange Commission (www.sec.gov)</v>
      </c>
      <c r="D26" s="382"/>
      <c r="E26" s="128" t="s">
        <v>1314</v>
      </c>
    </row>
    <row r="27" spans="1:5" ht="76"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2"/>
      <c r="E27" s="128" t="s">
        <v>1312</v>
      </c>
    </row>
    <row r="28" spans="1:5" ht="58.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2"/>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2"/>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2"/>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2"/>
      <c r="E31" s="128"/>
    </row>
    <row r="32" spans="1:5" ht="14.7">
      <c r="A32" s="87"/>
      <c r="B32" s="381" t="str">
        <f ca="1">OFFSET(L!$C$1,MATCH("General"&amp;"Cpy",L!$A:$A,0)-1,SL,,)</f>
        <v>© 2021 Responsible Minerals Initiative. All rights reserved.</v>
      </c>
      <c r="C32" s="381"/>
      <c r="D32" s="382"/>
      <c r="E32" s="128"/>
    </row>
    <row r="33" spans="1:4" ht="12.6" thickBot="1">
      <c r="A33" s="88"/>
      <c r="B33" s="183"/>
      <c r="C33" s="183"/>
      <c r="D33" s="383"/>
    </row>
    <row r="34" spans="1:4" ht="12.6"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PageLayoutView="70" workbookViewId="0">
      <selection activeCell="D89" sqref="D89:E89"/>
    </sheetView>
  </sheetViews>
  <sheetFormatPr defaultColWidth="8.85546875" defaultRowHeight="12.3"/>
  <cols>
    <col min="1" max="1" width="1.85546875" customWidth="1"/>
    <col min="2" max="2" width="83.140625" customWidth="1"/>
    <col min="3" max="3" width="1.6171875" customWidth="1"/>
    <col min="4" max="5" width="16.6171875" customWidth="1"/>
    <col min="6" max="6" width="1.6171875" customWidth="1"/>
    <col min="7" max="9" width="16.6171875" customWidth="1"/>
    <col min="10" max="10" width="17.85546875" customWidth="1"/>
    <col min="11" max="11" width="1.6171875" customWidth="1"/>
    <col min="12" max="12" width="3.6171875" style="113" hidden="1" customWidth="1"/>
    <col min="13" max="15" width="4.85546875" style="113" hidden="1" customWidth="1"/>
    <col min="16" max="23" width="9.140625" hidden="1" customWidth="1"/>
    <col min="24" max="24" width="9.140625" customWidth="1"/>
  </cols>
  <sheetData>
    <row r="1" spans="1:34" ht="15" thickTop="1">
      <c r="A1" s="415"/>
      <c r="B1" s="416"/>
      <c r="C1" s="416"/>
      <c r="D1" s="416"/>
      <c r="E1" s="416"/>
      <c r="F1" s="416"/>
      <c r="G1" s="416"/>
      <c r="H1" s="416"/>
      <c r="I1" s="416"/>
      <c r="J1" s="416"/>
      <c r="K1" s="417"/>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18" t="str">
        <f ca="1">OFFSET(L!$C$1,MATCH("Declaration"&amp;ADDRESS(ROW(),COLUMN(),4),L!$A:$A,0)-1,SL,,)</f>
        <v>Conflict Minerals Reporting Template (CMRT)</v>
      </c>
      <c r="E2" s="419"/>
      <c r="F2" s="419"/>
      <c r="G2" s="419"/>
      <c r="H2" s="419"/>
      <c r="I2" s="419"/>
      <c r="J2" s="420"/>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28"/>
      <c r="G3" s="428"/>
      <c r="H3" s="428"/>
      <c r="I3" s="182"/>
      <c r="J3" s="167" t="s">
        <v>15318</v>
      </c>
      <c r="K3" s="47"/>
      <c r="L3" s="139"/>
      <c r="M3" s="130"/>
      <c r="N3" s="130"/>
      <c r="O3" s="131"/>
      <c r="P3" s="144">
        <f>MATCH($D$3,LN,0)</f>
        <v>1</v>
      </c>
    </row>
    <row r="4" spans="1:34" ht="15">
      <c r="A4" s="45"/>
      <c r="B4" s="424" t="str">
        <f ca="1">OFFSET(L!$C$1,MATCH("Declaration"&amp;ADDRESS(ROW(),COLUMN(),4),L!$A:$A,0)-1,SL,,)</f>
        <v>The purpose of this document is to collect sourcing information on tin, tantalum, tungsten and gold used in products</v>
      </c>
      <c r="C4" s="424"/>
      <c r="D4" s="424"/>
      <c r="E4" s="424"/>
      <c r="F4" s="424"/>
      <c r="G4" s="424"/>
      <c r="H4" s="424"/>
      <c r="I4" s="429" t="str">
        <f ca="1">OFFSET(L!$C$1,MATCH("Declaration"&amp;ADDRESS(ROW(),COLUMN(),4),L!$A:$A,0)-1,SL,,)</f>
        <v>Link to Terms &amp; Conditions</v>
      </c>
      <c r="J4" s="429"/>
      <c r="K4" s="47"/>
      <c r="L4" s="141"/>
      <c r="M4" s="130"/>
      <c r="N4" s="130"/>
      <c r="O4" s="131"/>
      <c r="P4" s="12"/>
      <c r="Q4" s="12"/>
      <c r="R4" s="12"/>
      <c r="S4" s="12"/>
      <c r="T4" s="12"/>
      <c r="U4" s="12"/>
      <c r="V4" s="12"/>
      <c r="W4" s="12"/>
      <c r="X4" s="12"/>
      <c r="Y4" s="12"/>
      <c r="Z4" s="12"/>
      <c r="AA4" s="12"/>
      <c r="AB4" s="12"/>
      <c r="AC4" s="12"/>
      <c r="AD4" s="12"/>
      <c r="AE4" s="12"/>
      <c r="AF4" s="12"/>
      <c r="AG4" s="12"/>
      <c r="AH4" s="12"/>
    </row>
    <row r="5" spans="1:34" ht="14.7">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29.4">
      <c r="A6" s="45"/>
      <c r="B6" s="424" t="str">
        <f ca="1">OFFSET(L!$C$1,MATCH("Declaration"&amp;ADDRESS(ROW(),COLUMN(),4),L!$A:$A,0)-1,SL,,)</f>
        <v>Mandatory fields are noted with an asterisk (*).  Consult the instructions tab for guidance on how to answer each question.</v>
      </c>
      <c r="C6" s="424"/>
      <c r="D6" s="424"/>
      <c r="E6" s="424"/>
      <c r="F6" s="424"/>
      <c r="G6" s="424"/>
      <c r="H6" s="424"/>
      <c r="I6" s="424"/>
      <c r="J6" s="424"/>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7" customHeight="1">
      <c r="A7" s="45"/>
      <c r="B7" s="433" t="str">
        <f ca="1">OFFSET(L!$C$1,MATCH("Declaration"&amp;ADDRESS(ROW(),COLUMN(),4),L!$A:$A,0)-1,SL,,)</f>
        <v>Company Information</v>
      </c>
      <c r="C7" s="433"/>
      <c r="D7" s="433"/>
      <c r="E7" s="433"/>
      <c r="F7" s="433"/>
      <c r="G7" s="433"/>
      <c r="H7" s="433"/>
      <c r="I7" s="433"/>
      <c r="J7" s="433"/>
      <c r="K7" s="47"/>
      <c r="L7" s="141"/>
      <c r="M7" s="130"/>
      <c r="N7" s="130"/>
      <c r="O7" s="131"/>
      <c r="P7" s="12"/>
      <c r="Q7" s="12"/>
      <c r="R7" s="12"/>
      <c r="S7" s="12"/>
      <c r="T7" s="12"/>
      <c r="U7" s="12"/>
      <c r="V7" s="12"/>
      <c r="W7" s="12"/>
      <c r="X7" s="12"/>
      <c r="Y7" s="12"/>
      <c r="Z7" s="12"/>
      <c r="AA7" s="12"/>
      <c r="AB7" s="12"/>
      <c r="AC7" s="12"/>
      <c r="AD7" s="12"/>
      <c r="AE7" s="12"/>
      <c r="AF7" s="12"/>
      <c r="AG7" s="12"/>
      <c r="AH7" s="12"/>
    </row>
    <row r="8" spans="1:34" ht="15">
      <c r="A8" s="49"/>
      <c r="B8" s="86" t="str">
        <f ca="1">OFFSET(L!$C$1,MATCH("Declaration"&amp;ADDRESS(ROW(),COLUMN(),4),L!$A:$A,0)-1,SL,,)</f>
        <v>Company Name (*):</v>
      </c>
      <c r="C8" s="89"/>
      <c r="D8" s="421" t="s">
        <v>15606</v>
      </c>
      <c r="E8" s="422"/>
      <c r="F8" s="422"/>
      <c r="G8" s="422"/>
      <c r="H8" s="422"/>
      <c r="I8" s="422"/>
      <c r="J8" s="423"/>
      <c r="K8" s="50"/>
      <c r="L8" s="141"/>
      <c r="M8" s="130"/>
      <c r="N8" s="130"/>
      <c r="O8" s="131"/>
      <c r="P8" s="12"/>
      <c r="Q8" s="12"/>
      <c r="R8" s="12"/>
      <c r="S8" s="12"/>
      <c r="T8" s="12"/>
      <c r="U8" s="12"/>
      <c r="V8" s="12"/>
      <c r="W8" s="12"/>
      <c r="X8" s="12"/>
      <c r="Y8" s="12"/>
      <c r="Z8" s="12"/>
      <c r="AA8" s="12"/>
      <c r="AB8" s="12"/>
      <c r="AC8" s="12"/>
      <c r="AD8" s="12"/>
      <c r="AE8" s="12"/>
      <c r="AF8" s="12"/>
      <c r="AG8" s="12"/>
      <c r="AH8" s="12"/>
    </row>
    <row r="9" spans="1:34" ht="15">
      <c r="A9" s="49"/>
      <c r="B9" s="86" t="str">
        <f ca="1">OFFSET(L!$C$1,MATCH("Declaration"&amp;ADDRESS(ROW(),COLUMN(),4),L!$A:$A,0)-1,SL,,)</f>
        <v>Declaration Scope or Class (*):</v>
      </c>
      <c r="C9" s="89"/>
      <c r="D9" s="430" t="s">
        <v>494</v>
      </c>
      <c r="E9" s="431"/>
      <c r="F9" s="431"/>
      <c r="G9" s="432"/>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5" customHeight="1">
      <c r="A10" s="49"/>
      <c r="B10" s="434" t="str">
        <f ca="1">OFFSET(L!$C$1,MATCH("Declaration"&amp;ADDRESS(ROW(),COLUMN(),4)&amp;LEFT($D$9,1),L!$A:$A,0)-1,SL,,)</f>
        <v>Description of Scope:</v>
      </c>
      <c r="C10" s="151"/>
      <c r="D10" s="425"/>
      <c r="E10" s="426"/>
      <c r="F10" s="426"/>
      <c r="G10" s="426"/>
      <c r="H10" s="426"/>
      <c r="I10" s="426"/>
      <c r="J10" s="427"/>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
      <c r="A11" s="49"/>
      <c r="B11" s="435"/>
      <c r="C11" s="151"/>
      <c r="D11" s="399" t="str">
        <f ca="1">IF(D9=Q9,OFFSET(L!$C$1,MATCH("Declaration"&amp;ADDRESS(ROW(),COLUMN(),4),L!$A:$A,0)-1,SL,,),"")</f>
        <v/>
      </c>
      <c r="E11" s="400"/>
      <c r="F11" s="400"/>
      <c r="G11" s="400"/>
      <c r="H11" s="400"/>
      <c r="I11" s="400"/>
      <c r="J11" s="40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
      <c r="A12" s="49"/>
      <c r="B12" s="51" t="str">
        <f ca="1">OFFSET(L!$C$1,MATCH("Declaration"&amp;ADDRESS(ROW(),COLUMN(),4),L!$A:$A,0)-1,SL,,)</f>
        <v>Company Unique ID:</v>
      </c>
      <c r="C12" s="90"/>
      <c r="D12" s="408"/>
      <c r="E12" s="409"/>
      <c r="F12" s="409"/>
      <c r="G12" s="409"/>
      <c r="H12" s="409"/>
      <c r="I12" s="409"/>
      <c r="J12" s="410"/>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
      <c r="A13" s="49"/>
      <c r="B13" s="51" t="str">
        <f ca="1">OFFSET(L!$C$1,MATCH("Declaration"&amp;ADDRESS(ROW(),COLUMN(),4),L!$A:$A,0)-1,SL,,)</f>
        <v>Company Unique ID Authority:</v>
      </c>
      <c r="C13" s="90"/>
      <c r="D13" s="408"/>
      <c r="E13" s="409"/>
      <c r="F13" s="409"/>
      <c r="G13" s="409"/>
      <c r="H13" s="409"/>
      <c r="I13" s="409"/>
      <c r="J13" s="410"/>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
      <c r="A14" s="49"/>
      <c r="B14" s="51" t="str">
        <f ca="1">OFFSET(L!$C$1,MATCH("Declaration"&amp;ADDRESS(ROW(),COLUMN(),4),L!$A:$A,0)-1,SL,,)</f>
        <v>Address:</v>
      </c>
      <c r="C14" s="90"/>
      <c r="D14" s="408"/>
      <c r="E14" s="409"/>
      <c r="F14" s="409"/>
      <c r="G14" s="409"/>
      <c r="H14" s="409"/>
      <c r="I14" s="409"/>
      <c r="J14" s="410"/>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
      <c r="A15" s="49"/>
      <c r="B15" s="51" t="str">
        <f ca="1">OFFSET(L!$C$1,MATCH("Declaration"&amp;ADDRESS(ROW(),COLUMN(),4),L!$A:$A,0)-1,SL,,)</f>
        <v>Contact Name (*):</v>
      </c>
      <c r="C15" s="90"/>
      <c r="D15" s="408" t="s">
        <v>15607</v>
      </c>
      <c r="E15" s="409"/>
      <c r="F15" s="409"/>
      <c r="G15" s="409"/>
      <c r="H15" s="409"/>
      <c r="I15" s="409"/>
      <c r="J15" s="410"/>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
      <c r="A16" s="49"/>
      <c r="B16" s="51" t="str">
        <f ca="1">OFFSET(L!$C$1,MATCH("Declaration"&amp;ADDRESS(ROW(),COLUMN(),4),L!$A:$A,0)-1,SL,,)</f>
        <v>Email – Contact (*):</v>
      </c>
      <c r="C16" s="90"/>
      <c r="D16" s="436" t="s">
        <v>15608</v>
      </c>
      <c r="E16" s="437"/>
      <c r="F16" s="437"/>
      <c r="G16" s="437"/>
      <c r="H16" s="437"/>
      <c r="I16" s="437"/>
      <c r="J16" s="438"/>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
      <c r="A17" s="49"/>
      <c r="B17" s="51" t="str">
        <f ca="1">OFFSET(L!$C$1,MATCH("Declaration"&amp;ADDRESS(ROW(),COLUMN(),4),L!$A:$A,0)-1,SL,,)</f>
        <v>Phone – Contact (*):</v>
      </c>
      <c r="C17" s="90"/>
      <c r="D17" s="408" t="s">
        <v>15609</v>
      </c>
      <c r="E17" s="409"/>
      <c r="F17" s="409"/>
      <c r="G17" s="409"/>
      <c r="H17" s="409"/>
      <c r="I17" s="409"/>
      <c r="J17" s="410"/>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ustomHeight="1">
      <c r="A18" s="49"/>
      <c r="B18" s="51" t="str">
        <f ca="1">OFFSET(L!$C$1,MATCH("Declaration"&amp;ADDRESS(ROW(),COLUMN(),4),L!$A:$A,0)-1,SL,,)</f>
        <v>Authorizer (*):</v>
      </c>
      <c r="C18" s="90"/>
      <c r="D18" s="408" t="s">
        <v>15610</v>
      </c>
      <c r="E18" s="409"/>
      <c r="F18" s="409"/>
      <c r="G18" s="409"/>
      <c r="H18" s="409"/>
      <c r="I18" s="409"/>
      <c r="J18" s="410"/>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8" t="s">
        <v>15611</v>
      </c>
      <c r="E19" s="409"/>
      <c r="F19" s="409"/>
      <c r="G19" s="409"/>
      <c r="H19" s="409"/>
      <c r="I19" s="409"/>
      <c r="J19" s="410"/>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6" t="s">
        <v>15612</v>
      </c>
      <c r="E20" s="437"/>
      <c r="F20" s="437"/>
      <c r="G20" s="437"/>
      <c r="H20" s="437"/>
      <c r="I20" s="437"/>
      <c r="J20" s="438"/>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
      <c r="A21" s="49"/>
      <c r="B21" s="51" t="str">
        <f ca="1">OFFSET(L!$C$1,MATCH("Declaration"&amp;ADDRESS(ROW(),COLUMN(),4),L!$A:$A,0)-1,SL,,)</f>
        <v>Phone - Authorizer:</v>
      </c>
      <c r="C21" s="162"/>
      <c r="D21" s="439"/>
      <c r="E21" s="440"/>
      <c r="F21" s="440"/>
      <c r="G21" s="440"/>
      <c r="H21" s="440"/>
      <c r="I21" s="440"/>
      <c r="J21" s="441"/>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7">
      <c r="A22" s="49"/>
      <c r="B22" s="51" t="str">
        <f ca="1">OFFSET(L!$C$1,MATCH("Declaration"&amp;ADDRESS(ROW(),COLUMN(),4),L!$A:$A,0)-1,SL,,)</f>
        <v>Effective Date (*):</v>
      </c>
      <c r="C22" s="91"/>
      <c r="D22" s="442">
        <v>44341</v>
      </c>
      <c r="E22" s="443"/>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7">
      <c r="A23" s="52"/>
      <c r="B23" s="92"/>
      <c r="C23" s="20"/>
      <c r="D23" s="411"/>
      <c r="E23" s="411"/>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
      <c r="A24" s="53"/>
      <c r="B24" s="444" t="str">
        <f ca="1">OFFSET(L!$C$1,MATCH("Declaration"&amp;ADDRESS(ROW(),COLUMN(),4),L!$A:$A,0)-1,SL,,)</f>
        <v>Answer the following questions 1 - 8 based on the declaration scope indicated above</v>
      </c>
      <c r="C24" s="444"/>
      <c r="D24" s="444"/>
      <c r="E24" s="444"/>
      <c r="F24" s="444"/>
      <c r="G24" s="444"/>
      <c r="H24" s="444"/>
      <c r="I24" s="444"/>
      <c r="J24" s="444"/>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398" t="str">
        <f ca="1">OFFSET(L!$C$1,MATCH("Declaration"&amp;ADDRESS(ROW(),COLUMN(),4),L!$A:$A,0)-1,SL,,)</f>
        <v>Answer</v>
      </c>
      <c r="E25" s="398"/>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84" t="s">
        <v>488</v>
      </c>
      <c r="E26" s="385"/>
      <c r="F26" s="15"/>
      <c r="G26" s="386"/>
      <c r="H26" s="387"/>
      <c r="I26" s="387"/>
      <c r="J26" s="388"/>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4" t="s">
        <v>488</v>
      </c>
      <c r="E27" s="385"/>
      <c r="F27" s="15"/>
      <c r="G27" s="386"/>
      <c r="H27" s="387"/>
      <c r="I27" s="387"/>
      <c r="J27" s="388"/>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4" t="s">
        <v>488</v>
      </c>
      <c r="E28" s="385"/>
      <c r="F28" s="15"/>
      <c r="G28" s="386"/>
      <c r="H28" s="387"/>
      <c r="I28" s="387"/>
      <c r="J28" s="388"/>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84" t="s">
        <v>488</v>
      </c>
      <c r="E29" s="385"/>
      <c r="F29" s="15"/>
      <c r="G29" s="386"/>
      <c r="H29" s="387"/>
      <c r="I29" s="387"/>
      <c r="J29" s="388"/>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7">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4" t="str">
        <f ca="1">D25</f>
        <v>Answer</v>
      </c>
      <c r="E31" s="404"/>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402" t="s">
        <v>488</v>
      </c>
      <c r="E32" s="403"/>
      <c r="F32" s="58"/>
      <c r="G32" s="386"/>
      <c r="H32" s="387"/>
      <c r="I32" s="387"/>
      <c r="J32" s="388"/>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4" t="s">
        <v>488</v>
      </c>
      <c r="E33" s="385"/>
      <c r="F33" s="58"/>
      <c r="G33" s="386"/>
      <c r="H33" s="387"/>
      <c r="I33" s="387"/>
      <c r="J33" s="388"/>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4" t="s">
        <v>488</v>
      </c>
      <c r="E34" s="385"/>
      <c r="F34" s="58"/>
      <c r="G34" s="386"/>
      <c r="H34" s="387"/>
      <c r="I34" s="387"/>
      <c r="J34" s="388"/>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84" t="s">
        <v>488</v>
      </c>
      <c r="E35" s="385"/>
      <c r="F35" s="58"/>
      <c r="G35" s="386"/>
      <c r="H35" s="387"/>
      <c r="I35" s="387"/>
      <c r="J35" s="388"/>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7">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4" t="str">
        <f ca="1">D25</f>
        <v>Answer</v>
      </c>
      <c r="E37" s="404"/>
      <c r="F37" s="21"/>
      <c r="G37" s="55" t="str">
        <f ca="1">G25</f>
        <v>Comments</v>
      </c>
      <c r="H37" s="407"/>
      <c r="I37" s="407"/>
      <c r="J37" s="407"/>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84" t="s">
        <v>490</v>
      </c>
      <c r="E38" s="385"/>
      <c r="F38" s="58"/>
      <c r="G38" s="386"/>
      <c r="H38" s="387"/>
      <c r="I38" s="387"/>
      <c r="J38" s="388"/>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4" t="s">
        <v>490</v>
      </c>
      <c r="E39" s="385"/>
      <c r="F39" s="58"/>
      <c r="G39" s="386"/>
      <c r="H39" s="387"/>
      <c r="I39" s="387"/>
      <c r="J39" s="388"/>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4" t="s">
        <v>490</v>
      </c>
      <c r="E40" s="385"/>
      <c r="F40" s="58"/>
      <c r="G40" s="386"/>
      <c r="H40" s="387"/>
      <c r="I40" s="387"/>
      <c r="J40" s="388"/>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84" t="s">
        <v>490</v>
      </c>
      <c r="E41" s="385"/>
      <c r="F41" s="58"/>
      <c r="G41" s="386"/>
      <c r="H41" s="387"/>
      <c r="I41" s="387"/>
      <c r="J41" s="388"/>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7">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4" t="str">
        <f ca="1">D25</f>
        <v>Answer</v>
      </c>
      <c r="E43" s="404"/>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4" t="s">
        <v>490</v>
      </c>
      <c r="E44" s="385"/>
      <c r="F44" s="58"/>
      <c r="G44" s="386"/>
      <c r="H44" s="387"/>
      <c r="I44" s="387"/>
      <c r="J44" s="388"/>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4" t="s">
        <v>490</v>
      </c>
      <c r="E45" s="385"/>
      <c r="F45" s="58"/>
      <c r="G45" s="386"/>
      <c r="H45" s="387"/>
      <c r="I45" s="387"/>
      <c r="J45" s="388"/>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4" t="s">
        <v>490</v>
      </c>
      <c r="E46" s="385"/>
      <c r="F46" s="58"/>
      <c r="G46" s="386"/>
      <c r="H46" s="387"/>
      <c r="I46" s="387"/>
      <c r="J46" s="388"/>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4" t="s">
        <v>490</v>
      </c>
      <c r="E47" s="385"/>
      <c r="F47" s="58"/>
      <c r="G47" s="386"/>
      <c r="H47" s="387"/>
      <c r="I47" s="387"/>
      <c r="J47" s="388"/>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4" t="str">
        <f ca="1">D25</f>
        <v>Answer</v>
      </c>
      <c r="E49" s="404"/>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84" t="s">
        <v>489</v>
      </c>
      <c r="E50" s="385"/>
      <c r="F50" s="58"/>
      <c r="G50" s="386"/>
      <c r="H50" s="387"/>
      <c r="I50" s="387"/>
      <c r="J50" s="388"/>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4" t="s">
        <v>489</v>
      </c>
      <c r="E51" s="385"/>
      <c r="F51" s="58"/>
      <c r="G51" s="386"/>
      <c r="H51" s="387"/>
      <c r="I51" s="387"/>
      <c r="J51" s="388"/>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4" t="s">
        <v>489</v>
      </c>
      <c r="E52" s="385"/>
      <c r="F52" s="58"/>
      <c r="G52" s="386"/>
      <c r="H52" s="387"/>
      <c r="I52" s="387"/>
      <c r="J52" s="388"/>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84" t="s">
        <v>489</v>
      </c>
      <c r="E53" s="385"/>
      <c r="F53" s="58"/>
      <c r="G53" s="386"/>
      <c r="H53" s="387"/>
      <c r="I53" s="387"/>
      <c r="J53" s="388"/>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7">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404" t="str">
        <f ca="1">D25</f>
        <v>Answer</v>
      </c>
      <c r="E55" s="404"/>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405" t="s">
        <v>2512</v>
      </c>
      <c r="E56" s="406"/>
      <c r="F56" s="58"/>
      <c r="G56" s="386"/>
      <c r="H56" s="387"/>
      <c r="I56" s="387"/>
      <c r="J56" s="388"/>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405" t="s">
        <v>2512</v>
      </c>
      <c r="E57" s="406"/>
      <c r="F57" s="58"/>
      <c r="G57" s="386"/>
      <c r="H57" s="387"/>
      <c r="I57" s="387"/>
      <c r="J57" s="388"/>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05" t="s">
        <v>2512</v>
      </c>
      <c r="E58" s="406"/>
      <c r="F58" s="58"/>
      <c r="G58" s="386"/>
      <c r="H58" s="387"/>
      <c r="I58" s="387"/>
      <c r="J58" s="388"/>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405" t="s">
        <v>2512</v>
      </c>
      <c r="E59" s="406"/>
      <c r="F59" s="58"/>
      <c r="G59" s="386"/>
      <c r="H59" s="387"/>
      <c r="I59" s="387"/>
      <c r="J59" s="388"/>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7) Have you identified all of the smelters supplying the 3TG to your supply chain?  (*)</v>
      </c>
      <c r="C61" s="13"/>
      <c r="D61" s="404" t="str">
        <f ca="1">D25</f>
        <v>Answer</v>
      </c>
      <c r="E61" s="404"/>
      <c r="F61" s="21"/>
      <c r="G61" s="55" t="str">
        <f ca="1">G25</f>
        <v>Comments</v>
      </c>
      <c r="H61" s="397"/>
      <c r="I61" s="397"/>
      <c r="J61" s="397"/>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402" t="s">
        <v>488</v>
      </c>
      <c r="E62" s="403"/>
      <c r="F62" s="58"/>
      <c r="G62" s="386"/>
      <c r="H62" s="387"/>
      <c r="I62" s="387"/>
      <c r="J62" s="388"/>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4" t="s">
        <v>489</v>
      </c>
      <c r="E63" s="385"/>
      <c r="F63" s="58"/>
      <c r="G63" s="386"/>
      <c r="H63" s="387"/>
      <c r="I63" s="387"/>
      <c r="J63" s="388"/>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4" t="s">
        <v>489</v>
      </c>
      <c r="E64" s="385"/>
      <c r="F64" s="58"/>
      <c r="G64" s="386"/>
      <c r="H64" s="387"/>
      <c r="I64" s="387"/>
      <c r="J64" s="388"/>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84" t="s">
        <v>488</v>
      </c>
      <c r="E65" s="385"/>
      <c r="F65" s="58"/>
      <c r="G65" s="386"/>
      <c r="H65" s="387"/>
      <c r="I65" s="387"/>
      <c r="J65" s="388"/>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4" t="str">
        <f ca="1">D25</f>
        <v>Answer</v>
      </c>
      <c r="E67" s="404"/>
      <c r="F67" s="21"/>
      <c r="G67" s="55" t="str">
        <f ca="1">G25</f>
        <v>Comments</v>
      </c>
      <c r="H67" s="397" t="str">
        <f>IF(Q75="(*)","Click here to enter smelter names","")</f>
        <v/>
      </c>
      <c r="I67" s="397"/>
      <c r="J67" s="397"/>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84" t="s">
        <v>488</v>
      </c>
      <c r="E68" s="385"/>
      <c r="F68" s="59"/>
      <c r="G68" s="386"/>
      <c r="H68" s="387"/>
      <c r="I68" s="387"/>
      <c r="J68" s="388"/>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4" t="s">
        <v>488</v>
      </c>
      <c r="E69" s="385"/>
      <c r="F69" s="59"/>
      <c r="G69" s="386"/>
      <c r="H69" s="387"/>
      <c r="I69" s="387"/>
      <c r="J69" s="388"/>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4" t="s">
        <v>488</v>
      </c>
      <c r="E70" s="385"/>
      <c r="F70" s="59"/>
      <c r="G70" s="386"/>
      <c r="H70" s="387"/>
      <c r="I70" s="387"/>
      <c r="J70" s="388"/>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84" t="s">
        <v>488</v>
      </c>
      <c r="E71" s="385"/>
      <c r="F71" s="61"/>
      <c r="G71" s="386"/>
      <c r="H71" s="387"/>
      <c r="I71" s="387"/>
      <c r="J71" s="388"/>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4.7">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4.7">
      <c r="A73" s="52"/>
      <c r="B73" s="389" t="str">
        <f ca="1">OFFSET(L!$C$1,MATCH("Declaration"&amp;ADDRESS(ROW(),COLUMN(),4),L!$A:$A,0)-1,SL,,)</f>
        <v>Answer the Following Questions at a Company Level</v>
      </c>
      <c r="C73" s="389"/>
      <c r="D73" s="389"/>
      <c r="E73" s="389"/>
      <c r="F73" s="389"/>
      <c r="G73" s="389"/>
      <c r="H73" s="389"/>
      <c r="I73" s="389"/>
      <c r="J73" s="389"/>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
      <c r="A74" s="62"/>
      <c r="B74" s="63" t="str">
        <f ca="1">OFFSET(L!$C$1,MATCH("Declaration"&amp;ADDRESS(ROW(),COLUMN(),4),L!$A:$A,0)-1,SL,,)</f>
        <v>Question</v>
      </c>
      <c r="C74" s="94"/>
      <c r="D74" s="398" t="str">
        <f ca="1">D25</f>
        <v>Answer</v>
      </c>
      <c r="E74" s="398"/>
      <c r="F74" s="64"/>
      <c r="G74" s="398" t="str">
        <f ca="1">G25</f>
        <v>Comments</v>
      </c>
      <c r="H74" s="398" t="e">
        <f>HLOOKUP(SL,LT,$O74,0)</f>
        <v>#NAME?</v>
      </c>
      <c r="I74" s="398"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29.4">
      <c r="A75" s="52"/>
      <c r="B75" s="67" t="str">
        <f ca="1">OFFSET(L!$C$1,MATCH("Declaration"&amp;ADDRESS(ROW(),COLUMN(),4),L!$A:$A,0)-1,SL,,)&amp;$Q$37</f>
        <v>A. Have you established a responsible minerals sourcing policy? (*)</v>
      </c>
      <c r="C75" s="68"/>
      <c r="D75" s="384" t="s">
        <v>489</v>
      </c>
      <c r="E75" s="385"/>
      <c r="F75" s="68"/>
      <c r="G75" s="386"/>
      <c r="H75" s="387"/>
      <c r="I75" s="387"/>
      <c r="J75" s="388"/>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
      <c r="A76" s="52"/>
      <c r="B76" s="69"/>
      <c r="C76" s="15"/>
      <c r="D76" s="1"/>
      <c r="E76" s="1"/>
      <c r="F76" s="15"/>
      <c r="G76" s="395"/>
      <c r="H76" s="395"/>
      <c r="I76" s="395"/>
      <c r="J76" s="395"/>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4" t="s">
        <v>489</v>
      </c>
      <c r="E77" s="385"/>
      <c r="F77" s="68"/>
      <c r="G77" s="412"/>
      <c r="H77" s="413"/>
      <c r="I77" s="413"/>
      <c r="J77" s="414"/>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4" t="s">
        <v>489</v>
      </c>
      <c r="E79" s="385"/>
      <c r="F79" s="68"/>
      <c r="G79" s="386"/>
      <c r="H79" s="387"/>
      <c r="I79" s="387"/>
      <c r="J79" s="388"/>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4" t="s">
        <v>489</v>
      </c>
      <c r="E81" s="385"/>
      <c r="F81" s="68"/>
      <c r="G81" s="386"/>
      <c r="H81" s="387"/>
      <c r="I81" s="387"/>
      <c r="J81" s="388"/>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4" t="s">
        <v>15250</v>
      </c>
      <c r="E83" s="385"/>
      <c r="F83" s="68"/>
      <c r="G83" s="386"/>
      <c r="H83" s="387"/>
      <c r="I83" s="387"/>
      <c r="J83" s="388"/>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4.7">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3" t="s">
        <v>488</v>
      </c>
      <c r="E85" s="394"/>
      <c r="F85" s="68"/>
      <c r="G85" s="386"/>
      <c r="H85" s="387"/>
      <c r="I85" s="387"/>
      <c r="J85" s="388"/>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
      <c r="A86" s="52"/>
      <c r="B86" s="72"/>
      <c r="C86" s="15"/>
      <c r="D86" s="1"/>
      <c r="E86" s="1"/>
      <c r="F86" s="16"/>
      <c r="G86" s="395"/>
      <c r="H86" s="395"/>
      <c r="I86" s="395"/>
      <c r="J86" s="395"/>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4" t="s">
        <v>488</v>
      </c>
      <c r="E87" s="385"/>
      <c r="F87" s="68"/>
      <c r="G87" s="386"/>
      <c r="H87" s="387"/>
      <c r="I87" s="387"/>
      <c r="J87" s="388"/>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
      <c r="A88" s="52"/>
      <c r="B88" s="69"/>
      <c r="C88" s="15"/>
      <c r="D88" s="1"/>
      <c r="E88" s="1"/>
      <c r="F88" s="16"/>
      <c r="G88" s="396"/>
      <c r="H88" s="396"/>
      <c r="I88" s="396"/>
      <c r="J88" s="396"/>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29.4">
      <c r="A89" s="52"/>
      <c r="B89" s="67" t="str">
        <f ca="1">OFFSET(L!$C$1,MATCH("Declaration"&amp;ADDRESS(ROW(),COLUMN(),4),L!$A:$A,0)-1,SL,,)&amp;$Q$37</f>
        <v>H. Is your company required to file an annual conflict minerals disclosure? (*)</v>
      </c>
      <c r="C89" s="68"/>
      <c r="D89" s="384" t="s">
        <v>14215</v>
      </c>
      <c r="E89" s="385"/>
      <c r="F89" s="68"/>
      <c r="G89" s="386"/>
      <c r="H89" s="387"/>
      <c r="I89" s="387"/>
      <c r="J89" s="388"/>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4.7">
      <c r="A90" s="52"/>
      <c r="B90" s="392" t="str">
        <f>IF(OR($D$8="",$I$3=""),"","Click here to check required fields completion")</f>
        <v/>
      </c>
      <c r="C90" s="392"/>
      <c r="D90" s="392"/>
      <c r="E90" s="392"/>
      <c r="F90" s="392"/>
      <c r="G90" s="392"/>
      <c r="H90" s="392"/>
      <c r="I90" s="392"/>
      <c r="J90" s="392"/>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 thickBot="1">
      <c r="A91" s="390" t="str">
        <f ca="1">OFFSET(L!$C$1,MATCH("General"&amp;"Cpy",L!$A:$A,0)-1,SL,,)</f>
        <v>© 2021 Responsible Minerals Initiative. All rights reserved.</v>
      </c>
      <c r="B91" s="391"/>
      <c r="C91" s="391"/>
      <c r="D91" s="391"/>
      <c r="E91" s="391"/>
      <c r="F91" s="391"/>
      <c r="G91" s="391"/>
      <c r="H91" s="391"/>
      <c r="I91" s="391"/>
      <c r="J91" s="391"/>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7" t="s">
        <v>2511</v>
      </c>
    </row>
    <row r="101" spans="2:2" ht="15" hidden="1">
      <c r="B101" s="287" t="s">
        <v>2512</v>
      </c>
    </row>
    <row r="102" spans="2:2" ht="15" hidden="1">
      <c r="B102" s="287" t="s">
        <v>2513</v>
      </c>
    </row>
    <row r="103" spans="2:2" ht="15" hidden="1">
      <c r="B103" s="287" t="s">
        <v>2514</v>
      </c>
    </row>
    <row r="104" spans="2:2" ht="15" hidden="1">
      <c r="B104" s="287" t="s">
        <v>491</v>
      </c>
    </row>
    <row r="105" spans="2:2" ht="15" hidden="1">
      <c r="B105" s="287" t="s">
        <v>15250</v>
      </c>
    </row>
    <row r="106" spans="2:2" ht="15" hidden="1">
      <c r="B106" s="287" t="s">
        <v>12606</v>
      </c>
    </row>
    <row r="107" spans="2:2" ht="15" hidden="1">
      <c r="B107" s="287" t="s">
        <v>489</v>
      </c>
    </row>
    <row r="108" spans="2:2" ht="15" hidden="1">
      <c r="B108" s="287" t="s">
        <v>14215</v>
      </c>
    </row>
    <row r="109" spans="2:2" ht="15" hidden="1">
      <c r="B109" s="287" t="s">
        <v>14217</v>
      </c>
    </row>
    <row r="110" spans="2:2" ht="15" hidden="1">
      <c r="B110" s="287" t="s">
        <v>14218</v>
      </c>
    </row>
    <row r="111" spans="2:2" ht="1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05" priority="67" stopIfTrue="1">
      <formula>AND(OR($D$26="No",AND($D$26="Yes",$D$32="No")),OR($D$27="No",AND($D$27="Yes",$D$33="No")),OR($D$28="No",AND($D$28="Yes",$D$34="No")),OR($D$29="No",AND($D$29="Yes",$D$35="No")))</formula>
    </cfRule>
    <cfRule type="expression" dxfId="104" priority="68" stopIfTrue="1">
      <formula>IF(D75="",TRUE)</formula>
    </cfRule>
  </conditionalFormatting>
  <conditionalFormatting sqref="G77:J77">
    <cfRule type="expression" dxfId="103" priority="39" stopIfTrue="1">
      <formula>IF(AND($D$77="Yes",$G$77=""),TRUE)</formula>
    </cfRule>
  </conditionalFormatting>
  <conditionalFormatting sqref="D26:E26">
    <cfRule type="expression" dxfId="102" priority="119" stopIfTrue="1">
      <formula>IF($D$26="",TRUE)</formula>
    </cfRule>
  </conditionalFormatting>
  <conditionalFormatting sqref="D27:E27">
    <cfRule type="expression" dxfId="101" priority="126" stopIfTrue="1">
      <formula>IF($D$27="",TRUE)</formula>
    </cfRule>
  </conditionalFormatting>
  <conditionalFormatting sqref="D28:E28">
    <cfRule type="expression" dxfId="100" priority="127" stopIfTrue="1">
      <formula>IF($D$28="",TRUE)</formula>
    </cfRule>
  </conditionalFormatting>
  <conditionalFormatting sqref="D29:E29">
    <cfRule type="expression" dxfId="99" priority="128" stopIfTrue="1">
      <formula>IF($D$29="",TRUE)</formula>
    </cfRule>
  </conditionalFormatting>
  <conditionalFormatting sqref="D9:G9">
    <cfRule type="expression" dxfId="98" priority="134" stopIfTrue="1">
      <formula>IF($D$9="",TRUE)</formula>
    </cfRule>
  </conditionalFormatting>
  <conditionalFormatting sqref="D15:J15">
    <cfRule type="expression" dxfId="97" priority="135" stopIfTrue="1">
      <formula>IF($D$15="",TRUE)</formula>
    </cfRule>
  </conditionalFormatting>
  <conditionalFormatting sqref="D16:J16">
    <cfRule type="expression" dxfId="96" priority="136" stopIfTrue="1">
      <formula>IF($D$16="",TRUE)</formula>
    </cfRule>
  </conditionalFormatting>
  <conditionalFormatting sqref="D17:J17">
    <cfRule type="expression" dxfId="95" priority="137" stopIfTrue="1">
      <formula>IF($D$17="",TRUE)</formula>
    </cfRule>
  </conditionalFormatting>
  <conditionalFormatting sqref="D22:E22">
    <cfRule type="expression" dxfId="94" priority="141" stopIfTrue="1">
      <formula>IF($D$22="",TRUE)</formula>
    </cfRule>
  </conditionalFormatting>
  <conditionalFormatting sqref="D10:J10">
    <cfRule type="expression" dxfId="93" priority="38" stopIfTrue="1">
      <formula>IF($D$9=$Q$9,TRUE)</formula>
    </cfRule>
    <cfRule type="expression" dxfId="92" priority="148" stopIfTrue="1">
      <formula>IF(AND($D$10="",$D$9=$R$9),TRUE)</formula>
    </cfRule>
  </conditionalFormatting>
  <conditionalFormatting sqref="D34:E34 D40:E40 D52:E52 D58:E58 D64:E64 D70:E70">
    <cfRule type="expression" dxfId="91" priority="31" stopIfTrue="1">
      <formula>$P$28=""</formula>
    </cfRule>
  </conditionalFormatting>
  <conditionalFormatting sqref="D35:E35 D41:E41 D53:E53 D59:E59 D65:E65 D71:E71">
    <cfRule type="expression" dxfId="90" priority="146" stopIfTrue="1">
      <formula>$P$29=""</formula>
    </cfRule>
  </conditionalFormatting>
  <conditionalFormatting sqref="D32:E32">
    <cfRule type="expression" dxfId="89" priority="124" stopIfTrue="1">
      <formula>$P$26=""</formula>
    </cfRule>
  </conditionalFormatting>
  <conditionalFormatting sqref="D32:E32">
    <cfRule type="expression" dxfId="88" priority="37" stopIfTrue="1">
      <formula>IF(AND(OR($D$26="Yes",$D$26=""),$D$32=""),1,0)</formula>
    </cfRule>
  </conditionalFormatting>
  <conditionalFormatting sqref="D38 D50 D56 D62 D68">
    <cfRule type="expression" dxfId="87" priority="33" stopIfTrue="1">
      <formula>$P$32=""</formula>
    </cfRule>
  </conditionalFormatting>
  <conditionalFormatting sqref="D39:E39 D51 D57 D63 D69">
    <cfRule type="expression" dxfId="86" priority="32" stopIfTrue="1">
      <formula>$P$33=""</formula>
    </cfRule>
  </conditionalFormatting>
  <conditionalFormatting sqref="D40 D52 D58 D64 D70">
    <cfRule type="expression" dxfId="85" priority="22" stopIfTrue="1">
      <formula>$P$34=""</formula>
    </cfRule>
    <cfRule type="expression" dxfId="84" priority="144" stopIfTrue="1">
      <formula>IF(AND(OR($D$28="Yes",$D$28=""),D40=""),1,0)</formula>
    </cfRule>
  </conditionalFormatting>
  <conditionalFormatting sqref="D41 D53 D59 D65 D71">
    <cfRule type="expression" dxfId="83" priority="30" stopIfTrue="1">
      <formula>$P$35=""</formula>
    </cfRule>
  </conditionalFormatting>
  <conditionalFormatting sqref="D38:E38 D50:E50 D56:E56 D62:E62 D68:E68">
    <cfRule type="expression" dxfId="82" priority="35" stopIfTrue="1">
      <formula>$P$26=""</formula>
    </cfRule>
    <cfRule type="expression" dxfId="81" priority="36" stopIfTrue="1">
      <formula>IF(AND(OR($D$26="Yes",$D$26=""),D38=""),1,0)</formula>
    </cfRule>
  </conditionalFormatting>
  <conditionalFormatting sqref="G85:J85">
    <cfRule type="expression" dxfId="80" priority="29" stopIfTrue="1">
      <formula>IF(AND($D$85="Yes, using other format (describe)",$G$85=""),TRUE)</formula>
    </cfRule>
  </conditionalFormatting>
  <conditionalFormatting sqref="D39:E39 D51:E51 D57:E57 D63:E63 D69:E69">
    <cfRule type="expression" dxfId="79" priority="142" stopIfTrue="1">
      <formula>$P$39=""</formula>
    </cfRule>
    <cfRule type="expression" dxfId="78" priority="143" stopIfTrue="1">
      <formula>IF(AND(OR($D$27="Yes",$D$27=""),D39=""),1,0)</formula>
    </cfRule>
  </conditionalFormatting>
  <conditionalFormatting sqref="D33:E33">
    <cfRule type="expression" dxfId="77" priority="24" stopIfTrue="1">
      <formula>IF(AND(OR($D$27="Yes",$D$27=""),$D$33=""),1,0)</formula>
    </cfRule>
    <cfRule type="expression" dxfId="76" priority="25" stopIfTrue="1">
      <formula>$P$27=""</formula>
    </cfRule>
  </conditionalFormatting>
  <conditionalFormatting sqref="D34:E34">
    <cfRule type="expression" dxfId="75" priority="145" stopIfTrue="1">
      <formula>IF(AND(OR($D$28="Yes",$D$28=""),$D$34=""),1,0)</formula>
    </cfRule>
  </conditionalFormatting>
  <conditionalFormatting sqref="D41:E41 D53:E53 D59:E59 D65:E65 D71:E71">
    <cfRule type="expression" dxfId="74" priority="147" stopIfTrue="1">
      <formula>IF(AND(OR($D$29="Yes",$D$29=""),D41=""),1,0)</formula>
    </cfRule>
  </conditionalFormatting>
  <conditionalFormatting sqref="D35:E35">
    <cfRule type="expression" dxfId="73" priority="21" stopIfTrue="1">
      <formula>IF(AND(OR($D$29="Yes",$D$29=""),$D$35=""),1,0)</formula>
    </cfRule>
  </conditionalFormatting>
  <conditionalFormatting sqref="D46:E46">
    <cfRule type="expression" dxfId="72" priority="7" stopIfTrue="1">
      <formula>$P$28=""</formula>
    </cfRule>
  </conditionalFormatting>
  <conditionalFormatting sqref="D47:E47">
    <cfRule type="expression" dxfId="71" priority="15" stopIfTrue="1">
      <formula>$P$29=""</formula>
    </cfRule>
  </conditionalFormatting>
  <conditionalFormatting sqref="D44">
    <cfRule type="expression" dxfId="70" priority="9" stopIfTrue="1">
      <formula>$P$32=""</formula>
    </cfRule>
  </conditionalFormatting>
  <conditionalFormatting sqref="D45">
    <cfRule type="expression" dxfId="69" priority="8" stopIfTrue="1">
      <formula>$P$33=""</formula>
    </cfRule>
  </conditionalFormatting>
  <conditionalFormatting sqref="D46">
    <cfRule type="expression" dxfId="68" priority="5" stopIfTrue="1">
      <formula>$P$34=""</formula>
    </cfRule>
    <cfRule type="expression" dxfId="67" priority="14" stopIfTrue="1">
      <formula>IF(AND(OR($D$28="Yes",$D$28=""),D46=""),1,0)</formula>
    </cfRule>
  </conditionalFormatting>
  <conditionalFormatting sqref="D47">
    <cfRule type="expression" dxfId="66" priority="6" stopIfTrue="1">
      <formula>$P$35=""</formula>
    </cfRule>
  </conditionalFormatting>
  <conditionalFormatting sqref="D44:E44">
    <cfRule type="expression" dxfId="65" priority="10" stopIfTrue="1">
      <formula>$P$26=""</formula>
    </cfRule>
    <cfRule type="expression" dxfId="64" priority="11" stopIfTrue="1">
      <formula>IF(AND(OR($D$26="Yes",$D$26=""),D44=""),1,0)</formula>
    </cfRule>
  </conditionalFormatting>
  <conditionalFormatting sqref="D45:E45">
    <cfRule type="expression" dxfId="63" priority="12" stopIfTrue="1">
      <formula>$P$39=""</formula>
    </cfRule>
    <cfRule type="expression" dxfId="62" priority="13" stopIfTrue="1">
      <formula>IF(AND(OR($D$27="Yes",$D$27=""),D45=""),1,0)</formula>
    </cfRule>
  </conditionalFormatting>
  <conditionalFormatting sqref="D47:E47">
    <cfRule type="expression" dxfId="61" priority="16" stopIfTrue="1">
      <formula>IF(AND(OR($D$29="Yes",$D$29=""),D47=""),1,0)</formula>
    </cfRule>
  </conditionalFormatting>
  <conditionalFormatting sqref="D8:J8">
    <cfRule type="expression" dxfId="60" priority="4" stopIfTrue="1">
      <formula>IF($D$8="",TRUE)</formula>
    </cfRule>
  </conditionalFormatting>
  <conditionalFormatting sqref="D18:J18">
    <cfRule type="expression" dxfId="59" priority="3" stopIfTrue="1">
      <formula>IF($D$18="",TRUE)</formula>
    </cfRule>
  </conditionalFormatting>
  <conditionalFormatting sqref="D20:J20">
    <cfRule type="expression" dxfId="58" priority="1" stopIfTrue="1">
      <formula>IF($D$16="",TRUE)</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zoomScalePageLayoutView="55" workbookViewId="0">
      <pane ySplit="4" topLeftCell="A5" activePane="bottomLeft" state="frozen"/>
      <selection pane="bottomLeft" activeCell="A4" sqref="A4"/>
    </sheetView>
  </sheetViews>
  <sheetFormatPr defaultColWidth="8.85546875" defaultRowHeight="12.3"/>
  <cols>
    <col min="1" max="1" width="13.6171875" style="272" customWidth="1"/>
    <col min="2" max="2" width="13.37890625" style="277" customWidth="1"/>
    <col min="3" max="3" width="40.6171875" style="277" customWidth="1"/>
    <col min="4" max="4" width="30.6171875" style="277" customWidth="1"/>
    <col min="5" max="5" width="20.85546875" style="277" customWidth="1"/>
    <col min="6" max="7" width="13.85546875" style="277" customWidth="1"/>
    <col min="8" max="8" width="25.140625" style="277" customWidth="1"/>
    <col min="9" max="9" width="24.140625" style="277" customWidth="1"/>
    <col min="10" max="10" width="18.37890625" style="277" customWidth="1"/>
    <col min="11" max="11" width="27.37890625" style="277" customWidth="1"/>
    <col min="12" max="12" width="20.6171875" style="277" customWidth="1"/>
    <col min="13" max="13" width="35.140625" style="277" customWidth="1"/>
    <col min="14" max="14" width="42.140625" style="277" customWidth="1"/>
    <col min="15" max="15" width="32.140625" style="277" customWidth="1"/>
    <col min="16" max="16" width="22.85546875" style="277" customWidth="1"/>
    <col min="17" max="17" width="43.6171875" style="277" customWidth="1"/>
    <col min="18" max="18" width="35.85546875" style="277" hidden="1" customWidth="1"/>
    <col min="19" max="20" width="17.85546875" style="277" hidden="1" customWidth="1"/>
    <col min="21" max="21" width="8.85546875" style="276" hidden="1" customWidth="1"/>
    <col min="22" max="22" width="6.140625" style="276" hidden="1" customWidth="1"/>
    <col min="23" max="23" width="8.6171875" style="276" hidden="1" customWidth="1"/>
    <col min="24" max="24" width="8.85546875" style="276" hidden="1" customWidth="1"/>
    <col min="25" max="26" width="4.37890625" style="276" hidden="1" customWidth="1"/>
    <col min="27" max="27" width="4.37890625" style="277" hidden="1" customWidth="1"/>
    <col min="28" max="28" width="7.85546875" style="277" hidden="1" customWidth="1"/>
    <col min="29" max="33" width="4.37890625" style="277" hidden="1" customWidth="1"/>
    <col min="34" max="34" width="14.6171875" style="277" hidden="1" customWidth="1"/>
    <col min="35" max="39" width="8.85546875" style="277" customWidth="1"/>
    <col min="40" max="16384" width="8.85546875" style="277"/>
  </cols>
  <sheetData>
    <row r="1" spans="1:34" s="264" customFormat="1" ht="16"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6.7">
      <c r="A2" s="201"/>
      <c r="B2" s="220" t="str">
        <f ca="1">OFFSET(L!$C$1,MATCH("Smelter List"&amp;ADDRESS(ROW(),COLUMN(),4),L!$A:$A,0)-1,SL,,)</f>
        <v>TO BEGIN:</v>
      </c>
      <c r="C2" s="203"/>
      <c r="D2" s="203"/>
      <c r="E2" s="203"/>
      <c r="F2" s="229"/>
      <c r="G2" s="229"/>
      <c r="H2" s="229"/>
      <c r="I2" s="230"/>
      <c r="J2" s="445" t="str">
        <f ca="1">OFFSET(L!$C$1,MATCH("Smelter List"&amp;ADDRESS(ROW(),COLUMN(),4),L!$A:$A,0)-1,SL,,)</f>
        <v>Link to "RMAP Conformant Smelter List"</v>
      </c>
      <c r="K2" s="446"/>
      <c r="L2" s="446"/>
      <c r="M2" s="446"/>
      <c r="N2" s="446"/>
      <c r="O2" s="446"/>
      <c r="P2" s="231"/>
      <c r="Q2" s="232"/>
      <c r="R2" s="233"/>
      <c r="S2" s="233"/>
      <c r="T2" s="233"/>
      <c r="U2" s="262"/>
      <c r="V2" s="262"/>
      <c r="W2" s="263"/>
      <c r="X2" s="262"/>
      <c r="Y2" s="262"/>
      <c r="Z2" s="262"/>
      <c r="AH2" s="174" t="s">
        <v>488</v>
      </c>
    </row>
    <row r="3" spans="1:34" s="264" customFormat="1" ht="274" customHeight="1">
      <c r="A3" s="202"/>
      <c r="B3" s="44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7"/>
      <c r="D3" s="447"/>
      <c r="E3" s="447"/>
      <c r="F3" s="265"/>
      <c r="G3" s="448" t="str">
        <f ca="1">OFFSET(L!$C$1,MATCH("General"&amp;"Cpy",L!$A:$A,0)-1,SL,,)</f>
        <v>© 2021 Responsible Minerals Initiative. All rights reserved.</v>
      </c>
      <c r="H3" s="448"/>
      <c r="I3" s="449"/>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60">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19.5" customHeight="1">
      <c r="A5" s="324" t="s">
        <v>767</v>
      </c>
      <c r="B5" s="215" t="s">
        <v>1131</v>
      </c>
      <c r="C5" s="219" t="s">
        <v>842</v>
      </c>
      <c r="D5" s="278"/>
      <c r="E5" s="215" t="s">
        <v>2461</v>
      </c>
      <c r="F5" s="215" t="s">
        <v>767</v>
      </c>
      <c r="G5" s="215" t="s">
        <v>13459</v>
      </c>
      <c r="H5" s="216">
        <v>0</v>
      </c>
      <c r="I5" s="217" t="s">
        <v>1782</v>
      </c>
      <c r="J5" s="217" t="s">
        <v>1782</v>
      </c>
      <c r="K5" s="268"/>
      <c r="L5" s="268"/>
      <c r="M5" s="268"/>
      <c r="N5" s="268"/>
      <c r="O5" s="268"/>
      <c r="P5" s="218"/>
      <c r="Q5" s="269"/>
      <c r="R5" s="215" t="str">
        <f ca="1">IF(ISERROR($V5),"",OFFSET('Smelter Look-up'!$C$4,$V5-4,0)&amp;"")</f>
        <v>EM Vinto</v>
      </c>
      <c r="S5" s="222" t="str">
        <f t="shared" ref="S5" ca="1" si="0">IF(B5="","",IF(ISERROR(MATCH($E5,CL,0)),"Unknown",INDIRECT("'C'!$A$"&amp;MATCH($E5,CL,0)+1)))</f>
        <v>BO</v>
      </c>
      <c r="T5" s="222" t="str">
        <f ca="1">IF(B5="","",IF(ISERROR(MATCH($J5,SorP!$B$1:$B$6230,0)),"",INDIRECT("'SorP'!$A$"&amp;MATCH($J5,SorP!$B$1:$B$6230,0))))</f>
        <v>BO-O</v>
      </c>
      <c r="U5" s="238"/>
      <c r="V5" s="270">
        <f>IF(C5="",NA(),MATCH($B5&amp;$C5,'Smelter Look-up'!$J:$J,0))</f>
        <v>412</v>
      </c>
      <c r="W5" s="271"/>
      <c r="X5" s="271">
        <f t="shared" ref="X5" si="1">IF(AND(C5="Smelter not listed",OR(LEN(D5)=0,LEN(E5)=0)),1,0)</f>
        <v>0</v>
      </c>
      <c r="Y5" s="271"/>
      <c r="Z5" s="271"/>
      <c r="AB5" s="273" t="str">
        <f t="shared" ref="AB5" si="2">B5&amp;C5</f>
        <v>TinEM Vinto</v>
      </c>
    </row>
    <row r="6" spans="1:34" s="272" customFormat="1" ht="20.100000000000001" customHeight="1">
      <c r="A6" s="324" t="s">
        <v>769</v>
      </c>
      <c r="B6" s="215" t="s">
        <v>1131</v>
      </c>
      <c r="C6" s="219" t="s">
        <v>815</v>
      </c>
      <c r="D6" s="278"/>
      <c r="E6" s="215" t="s">
        <v>882</v>
      </c>
      <c r="F6" s="215" t="s">
        <v>769</v>
      </c>
      <c r="G6" s="215" t="s">
        <v>13459</v>
      </c>
      <c r="H6" s="216">
        <v>0</v>
      </c>
      <c r="I6" s="217" t="s">
        <v>1785</v>
      </c>
      <c r="J6" s="217" t="s">
        <v>9711</v>
      </c>
      <c r="K6" s="268"/>
      <c r="L6" s="268"/>
      <c r="M6" s="268"/>
      <c r="N6" s="268"/>
      <c r="O6" s="268"/>
      <c r="P6" s="218"/>
      <c r="Q6" s="269"/>
      <c r="R6" s="215" t="str">
        <f ca="1">IF(ISERROR($V6),"",OFFSET('Smelter Look-up'!$C$4,$V6-4,0)&amp;"")</f>
        <v>Fenix Metals</v>
      </c>
      <c r="S6" s="222" t="str">
        <f t="shared" ref="S6:S37" ca="1" si="3">IF(B6="","",IF(ISERROR(MATCH($E6,CL,0)),"Unknown",INDIRECT("'C'!$A$"&amp;MATCH($E6,CL,0)+1)))</f>
        <v>PL</v>
      </c>
      <c r="T6" s="222" t="str">
        <f ca="1">IF(B6="","",IF(ISERROR(MATCH($J6,SorP!$B$1:$B$6230,0)),"",INDIRECT("'SorP'!$A$"&amp;MATCH($J6,SorP!$B$1:$B$6230,0))))</f>
        <v>PL-18</v>
      </c>
      <c r="U6" s="238"/>
      <c r="V6" s="270">
        <f>IF(C6="",NA(),MATCH($B6&amp;$C6,'Smelter Look-up'!$J:$J,0))</f>
        <v>421</v>
      </c>
      <c r="W6" s="271"/>
      <c r="X6" s="271">
        <f t="shared" ref="X6:X37" si="4">IF(AND(C6="Smelter not listed",OR(LEN(D6)=0,LEN(E6)=0)),1,0)</f>
        <v>0</v>
      </c>
      <c r="Y6" s="271"/>
      <c r="Z6" s="271"/>
      <c r="AB6" s="273" t="str">
        <f t="shared" ref="AB6:AB37" si="5">B6&amp;C6</f>
        <v>TinFenix Metals</v>
      </c>
    </row>
    <row r="7" spans="1:34" s="272" customFormat="1" ht="20.100000000000001" customHeight="1">
      <c r="A7" s="324" t="s">
        <v>770</v>
      </c>
      <c r="B7" s="215" t="s">
        <v>1131</v>
      </c>
      <c r="C7" s="219" t="s">
        <v>2160</v>
      </c>
      <c r="D7" s="278"/>
      <c r="E7" s="215" t="s">
        <v>1100</v>
      </c>
      <c r="F7" s="215" t="s">
        <v>770</v>
      </c>
      <c r="G7" s="215" t="s">
        <v>13459</v>
      </c>
      <c r="H7" s="216">
        <v>0</v>
      </c>
      <c r="I7" s="217" t="s">
        <v>2477</v>
      </c>
      <c r="J7" s="217" t="s">
        <v>13851</v>
      </c>
      <c r="K7" s="268"/>
      <c r="L7" s="268"/>
      <c r="M7" s="268"/>
      <c r="N7" s="268"/>
      <c r="O7" s="268"/>
      <c r="P7" s="218"/>
      <c r="Q7" s="269"/>
      <c r="R7" s="215" t="str">
        <f ca="1">IF(ISERROR($V7),"",OFFSET('Smelter Look-up'!$C$4,$V7-4,0)&amp;"")</f>
        <v>Gejiu Non-Ferrous Metal Processing Co., Ltd.</v>
      </c>
      <c r="S7" s="222" t="str">
        <f t="shared" ca="1" si="3"/>
        <v>CN</v>
      </c>
      <c r="T7" s="222" t="str">
        <f ca="1">IF(B7="","",IF(ISERROR(MATCH($J7,SorP!$B$1:$B$6230,0)),"",INDIRECT("'SorP'!$A$"&amp;MATCH($J7,SorP!$B$1:$B$6230,0))))</f>
        <v>CN-YN</v>
      </c>
      <c r="U7" s="238"/>
      <c r="V7" s="270">
        <f>IF(C7="",NA(),MATCH($B7&amp;$C7,'Smelter Look-up'!$J:$J,0))</f>
        <v>428</v>
      </c>
      <c r="W7" s="271"/>
      <c r="X7" s="271">
        <f t="shared" si="4"/>
        <v>0</v>
      </c>
      <c r="Y7" s="271"/>
      <c r="Z7" s="271"/>
      <c r="AB7" s="273" t="str">
        <f t="shared" si="5"/>
        <v>TinGejiu Non-Ferrous Metal Processing Co., Ltd.</v>
      </c>
    </row>
    <row r="8" spans="1:34" s="272" customFormat="1" ht="20.100000000000001" customHeight="1">
      <c r="A8" s="324" t="s">
        <v>784</v>
      </c>
      <c r="B8" s="215" t="s">
        <v>1131</v>
      </c>
      <c r="C8" s="219" t="s">
        <v>14025</v>
      </c>
      <c r="D8" s="278"/>
      <c r="E8" s="215" t="s">
        <v>1105</v>
      </c>
      <c r="F8" s="215" t="s">
        <v>784</v>
      </c>
      <c r="G8" s="215" t="s">
        <v>13459</v>
      </c>
      <c r="H8" s="216">
        <v>0</v>
      </c>
      <c r="I8" s="217" t="s">
        <v>1808</v>
      </c>
      <c r="J8" s="217" t="s">
        <v>13066</v>
      </c>
      <c r="K8" s="268"/>
      <c r="L8" s="268"/>
      <c r="M8" s="268"/>
      <c r="N8" s="268"/>
      <c r="O8" s="268"/>
      <c r="P8" s="218"/>
      <c r="Q8" s="269"/>
      <c r="R8" s="215" t="str">
        <f ca="1">IF(ISERROR($V8),"",OFFSET('Smelter Look-up'!$C$4,$V8-4,0)&amp;"")</f>
        <v>PT Timah Tbk Mentok</v>
      </c>
      <c r="S8" s="222" t="str">
        <f t="shared" ca="1" si="3"/>
        <v>ID</v>
      </c>
      <c r="T8" s="222" t="str">
        <f ca="1">IF(B8="","",IF(ISERROR(MATCH($J8,SorP!$B$1:$B$6230,0)),"",INDIRECT("'SorP'!$A$"&amp;MATCH($J8,SorP!$B$1:$B$6230,0))))</f>
        <v>ID-BB</v>
      </c>
      <c r="U8" s="238"/>
      <c r="V8" s="270">
        <f>IF(C8="",NA(),MATCH($B8&amp;$C8,'Smelter Look-up'!$J:$J,0))</f>
        <v>492</v>
      </c>
      <c r="W8" s="271"/>
      <c r="X8" s="271">
        <f t="shared" si="4"/>
        <v>0</v>
      </c>
      <c r="Y8" s="271"/>
      <c r="Z8" s="271"/>
      <c r="AB8" s="273" t="str">
        <f t="shared" si="5"/>
        <v>TinPT Timah Tbk Mentok</v>
      </c>
    </row>
    <row r="9" spans="1:34" s="272" customFormat="1" ht="20.100000000000001" customHeight="1">
      <c r="A9" s="324" t="s">
        <v>774</v>
      </c>
      <c r="B9" s="215" t="s">
        <v>1131</v>
      </c>
      <c r="C9" s="219" t="s">
        <v>821</v>
      </c>
      <c r="D9" s="278"/>
      <c r="E9" s="215" t="s">
        <v>1115</v>
      </c>
      <c r="F9" s="215" t="s">
        <v>774</v>
      </c>
      <c r="G9" s="215" t="s">
        <v>13459</v>
      </c>
      <c r="H9" s="216">
        <v>0</v>
      </c>
      <c r="I9" s="217" t="s">
        <v>1794</v>
      </c>
      <c r="J9" s="217" t="s">
        <v>8868</v>
      </c>
      <c r="K9" s="268"/>
      <c r="L9" s="268"/>
      <c r="M9" s="268"/>
      <c r="N9" s="268"/>
      <c r="O9" s="268"/>
      <c r="P9" s="218"/>
      <c r="Q9" s="269"/>
      <c r="R9" s="215" t="str">
        <f ca="1">IF(ISERROR($V9),"",OFFSET('Smelter Look-up'!$C$4,$V9-4,0)&amp;"")</f>
        <v>Malaysia Smelting Corporation (MSC)</v>
      </c>
      <c r="S9" s="222" t="str">
        <f t="shared" ca="1" si="3"/>
        <v>MY</v>
      </c>
      <c r="T9" s="222" t="str">
        <f ca="1">IF(B9="","",IF(ISERROR(MATCH($J9,SorP!$B$1:$B$6230,0)),"",INDIRECT("'SorP'!$A$"&amp;MATCH($J9,SorP!$B$1:$B$6230,0))))</f>
        <v>MY-07</v>
      </c>
      <c r="U9" s="238"/>
      <c r="V9" s="270">
        <f>IF(C9="",NA(),MATCH($B9&amp;$C9,'Smelter Look-up'!$J:$J,0))</f>
        <v>449</v>
      </c>
      <c r="W9" s="271"/>
      <c r="X9" s="271">
        <f t="shared" si="4"/>
        <v>0</v>
      </c>
      <c r="Y9" s="271"/>
      <c r="Z9" s="271"/>
      <c r="AB9" s="273" t="str">
        <f t="shared" si="5"/>
        <v>TinMalaysia Smelting Corporation (MSC)</v>
      </c>
    </row>
    <row r="10" spans="1:34" s="272" customFormat="1" ht="20.100000000000001" customHeight="1">
      <c r="A10" s="324" t="s">
        <v>1830</v>
      </c>
      <c r="B10" s="215" t="s">
        <v>1131</v>
      </c>
      <c r="C10" s="219" t="s">
        <v>13149</v>
      </c>
      <c r="D10" s="278"/>
      <c r="E10" s="215" t="s">
        <v>1095</v>
      </c>
      <c r="F10" s="215" t="s">
        <v>1830</v>
      </c>
      <c r="G10" s="215" t="s">
        <v>13459</v>
      </c>
      <c r="H10" s="216">
        <v>0</v>
      </c>
      <c r="I10" s="217" t="s">
        <v>1831</v>
      </c>
      <c r="J10" s="217" t="s">
        <v>3190</v>
      </c>
      <c r="K10" s="268"/>
      <c r="L10" s="268"/>
      <c r="M10" s="268"/>
      <c r="N10" s="268"/>
      <c r="O10" s="268"/>
      <c r="P10" s="218"/>
      <c r="Q10" s="269"/>
      <c r="R10" s="215" t="str">
        <f ca="1">IF(ISERROR($V10),"",OFFSET('Smelter Look-up'!$C$4,$V10-4,0)&amp;"")</f>
        <v>Metallo Belgium N.V.</v>
      </c>
      <c r="S10" s="222" t="str">
        <f t="shared" ca="1" si="3"/>
        <v>BE</v>
      </c>
      <c r="T10" s="222" t="str">
        <f ca="1">IF(B10="","",IF(ISERROR(MATCH($J10,SorP!$B$1:$B$6230,0)),"",INDIRECT("'SorP'!$A$"&amp;MATCH($J10,SorP!$B$1:$B$6230,0))))</f>
        <v>BE-VAN</v>
      </c>
      <c r="U10" s="238"/>
      <c r="V10" s="270">
        <f>IF(C10="",NA(),MATCH($B10&amp;$C10,'Smelter Look-up'!$J:$J,0))</f>
        <v>454</v>
      </c>
      <c r="W10" s="271"/>
      <c r="X10" s="271">
        <f t="shared" si="4"/>
        <v>0</v>
      </c>
      <c r="Y10" s="271"/>
      <c r="Z10" s="271"/>
      <c r="AB10" s="273" t="str">
        <f t="shared" si="5"/>
        <v>TinMetallo Belgium N.V.</v>
      </c>
    </row>
    <row r="11" spans="1:34" s="272" customFormat="1" ht="20.100000000000001" customHeight="1">
      <c r="A11" s="324" t="s">
        <v>775</v>
      </c>
      <c r="B11" s="215" t="s">
        <v>1131</v>
      </c>
      <c r="C11" s="219" t="s">
        <v>12642</v>
      </c>
      <c r="D11" s="278"/>
      <c r="E11" s="215" t="s">
        <v>1096</v>
      </c>
      <c r="F11" s="215" t="s">
        <v>775</v>
      </c>
      <c r="G11" s="215" t="s">
        <v>13459</v>
      </c>
      <c r="H11" s="216">
        <v>0</v>
      </c>
      <c r="I11" s="217" t="s">
        <v>1797</v>
      </c>
      <c r="J11" s="217" t="s">
        <v>1683</v>
      </c>
      <c r="K11" s="268"/>
      <c r="L11" s="268"/>
      <c r="M11" s="268"/>
      <c r="N11" s="268"/>
      <c r="O11" s="268"/>
      <c r="P11" s="218"/>
      <c r="Q11" s="269"/>
      <c r="R11" s="215" t="str">
        <f ca="1">IF(ISERROR($V11),"",OFFSET('Smelter Look-up'!$C$4,$V11-4,0)&amp;"")</f>
        <v>Mineracao Taboca S.A.</v>
      </c>
      <c r="S11" s="222" t="str">
        <f t="shared" ca="1" si="3"/>
        <v>BR</v>
      </c>
      <c r="T11" s="222" t="str">
        <f ca="1">IF(B11="","",IF(ISERROR(MATCH($J11,SorP!$B$1:$B$6230,0)),"",INDIRECT("'SorP'!$A$"&amp;MATCH($J11,SorP!$B$1:$B$6230,0))))</f>
        <v>BR-SP</v>
      </c>
      <c r="U11" s="238"/>
      <c r="V11" s="270">
        <f>IF(C11="",NA(),MATCH($B11&amp;$C11,'Smelter Look-up'!$J:$J,0))</f>
        <v>456</v>
      </c>
      <c r="W11" s="271"/>
      <c r="X11" s="271">
        <f t="shared" si="4"/>
        <v>0</v>
      </c>
      <c r="Y11" s="271"/>
      <c r="Z11" s="271"/>
      <c r="AB11" s="273" t="str">
        <f t="shared" si="5"/>
        <v>TinMineracao Taboca S.A.</v>
      </c>
    </row>
    <row r="12" spans="1:34" s="272" customFormat="1" ht="20.100000000000001" customHeight="1">
      <c r="A12" s="324" t="s">
        <v>776</v>
      </c>
      <c r="B12" s="215" t="s">
        <v>1131</v>
      </c>
      <c r="C12" s="219" t="s">
        <v>1034</v>
      </c>
      <c r="D12" s="278"/>
      <c r="E12" s="215" t="s">
        <v>880</v>
      </c>
      <c r="F12" s="215" t="s">
        <v>776</v>
      </c>
      <c r="G12" s="215" t="s">
        <v>13459</v>
      </c>
      <c r="H12" s="216">
        <v>0</v>
      </c>
      <c r="I12" s="217" t="s">
        <v>1799</v>
      </c>
      <c r="J12" s="217" t="s">
        <v>9323</v>
      </c>
      <c r="K12" s="268"/>
      <c r="L12" s="268"/>
      <c r="M12" s="268"/>
      <c r="N12" s="268"/>
      <c r="O12" s="268"/>
      <c r="P12" s="218"/>
      <c r="Q12" s="269"/>
      <c r="R12" s="215" t="str">
        <f ca="1">IF(ISERROR($V12),"",OFFSET('Smelter Look-up'!$C$4,$V12-4,0)&amp;"")</f>
        <v>Minsur</v>
      </c>
      <c r="S12" s="222" t="str">
        <f t="shared" ca="1" si="3"/>
        <v>PE</v>
      </c>
      <c r="T12" s="222" t="str">
        <f ca="1">IF(B12="","",IF(ISERROR(MATCH($J12,SorP!$B$1:$B$6230,0)),"",INDIRECT("'SorP'!$A$"&amp;MATCH($J12,SorP!$B$1:$B$6230,0))))</f>
        <v>PE-ICA</v>
      </c>
      <c r="U12" s="238"/>
      <c r="V12" s="270">
        <f>IF(C12="",NA(),MATCH($B12&amp;$C12,'Smelter Look-up'!$J:$J,0))</f>
        <v>460</v>
      </c>
      <c r="W12" s="271"/>
      <c r="X12" s="271">
        <f t="shared" si="4"/>
        <v>0</v>
      </c>
      <c r="Y12" s="271"/>
      <c r="Z12" s="271"/>
      <c r="AB12" s="273" t="str">
        <f t="shared" si="5"/>
        <v>TinMinsur</v>
      </c>
    </row>
    <row r="13" spans="1:34" s="272" customFormat="1" ht="20.100000000000001" customHeight="1">
      <c r="A13" s="324" t="s">
        <v>780</v>
      </c>
      <c r="B13" s="215" t="s">
        <v>1131</v>
      </c>
      <c r="C13" s="219" t="s">
        <v>14029</v>
      </c>
      <c r="D13" s="278"/>
      <c r="E13" s="215" t="s">
        <v>2461</v>
      </c>
      <c r="F13" s="215" t="s">
        <v>780</v>
      </c>
      <c r="G13" s="215" t="s">
        <v>13459</v>
      </c>
      <c r="H13" s="216">
        <v>0</v>
      </c>
      <c r="I13" s="217" t="s">
        <v>1782</v>
      </c>
      <c r="J13" s="217" t="s">
        <v>1782</v>
      </c>
      <c r="K13" s="268"/>
      <c r="L13" s="268"/>
      <c r="M13" s="268"/>
      <c r="N13" s="268"/>
      <c r="O13" s="268"/>
      <c r="P13" s="218"/>
      <c r="Q13" s="269"/>
      <c r="R13" s="215" t="str">
        <f ca="1">IF(ISERROR($V13),"",OFFSET('Smelter Look-up'!$C$4,$V13-4,0)&amp;"")</f>
        <v>Operaciones Metalurgicas S.A.</v>
      </c>
      <c r="S13" s="222" t="str">
        <f t="shared" ca="1" si="3"/>
        <v>BO</v>
      </c>
      <c r="T13" s="222" t="str">
        <f ca="1">IF(B13="","",IF(ISERROR(MATCH($J13,SorP!$B$1:$B$6230,0)),"",INDIRECT("'SorP'!$A$"&amp;MATCH($J13,SorP!$B$1:$B$6230,0))))</f>
        <v>BO-O</v>
      </c>
      <c r="U13" s="238"/>
      <c r="V13" s="270">
        <f>IF(C13="",NA(),MATCH($B13&amp;$C13,'Smelter Look-up'!$J:$J,0))</f>
        <v>471</v>
      </c>
      <c r="W13" s="271"/>
      <c r="X13" s="271">
        <f t="shared" si="4"/>
        <v>0</v>
      </c>
      <c r="Y13" s="271"/>
      <c r="Z13" s="271"/>
      <c r="AB13" s="273" t="str">
        <f t="shared" si="5"/>
        <v>TinOperaciones Metalurgicas S.A.</v>
      </c>
    </row>
    <row r="14" spans="1:34" s="272" customFormat="1" ht="20.100000000000001" customHeight="1">
      <c r="A14" s="324" t="s">
        <v>1404</v>
      </c>
      <c r="B14" s="215" t="s">
        <v>1131</v>
      </c>
      <c r="C14" s="219" t="s">
        <v>1403</v>
      </c>
      <c r="D14" s="278"/>
      <c r="E14" s="215" t="s">
        <v>1105</v>
      </c>
      <c r="F14" s="215" t="s">
        <v>1404</v>
      </c>
      <c r="G14" s="215" t="s">
        <v>13459</v>
      </c>
      <c r="H14" s="216">
        <v>0</v>
      </c>
      <c r="I14" s="217" t="s">
        <v>1780</v>
      </c>
      <c r="J14" s="217" t="s">
        <v>13066</v>
      </c>
      <c r="K14" s="268"/>
      <c r="L14" s="268"/>
      <c r="M14" s="268"/>
      <c r="N14" s="268"/>
      <c r="O14" s="268"/>
      <c r="P14" s="218"/>
      <c r="Q14" s="269"/>
      <c r="R14" s="215" t="str">
        <f ca="1">IF(ISERROR($V14),"",OFFSET('Smelter Look-up'!$C$4,$V14-4,0)&amp;"")</f>
        <v>PT ATD Makmur Mandiri Jaya</v>
      </c>
      <c r="S14" s="222" t="str">
        <f t="shared" ca="1" si="3"/>
        <v>ID</v>
      </c>
      <c r="T14" s="222" t="str">
        <f ca="1">IF(B14="","",IF(ISERROR(MATCH($J14,SorP!$B$1:$B$6230,0)),"",INDIRECT("'SorP'!$A$"&amp;MATCH($J14,SorP!$B$1:$B$6230,0))))</f>
        <v>ID-BB</v>
      </c>
      <c r="U14" s="238"/>
      <c r="V14" s="270">
        <f>IF(C14="",NA(),MATCH($B14&amp;$C14,'Smelter Look-up'!$J:$J,0))</f>
        <v>477</v>
      </c>
      <c r="W14" s="271"/>
      <c r="X14" s="271">
        <f t="shared" si="4"/>
        <v>0</v>
      </c>
      <c r="Y14" s="271"/>
      <c r="Z14" s="271"/>
      <c r="AB14" s="273" t="str">
        <f t="shared" si="5"/>
        <v>TinPT ATD Makmur Mandiri Jaya</v>
      </c>
    </row>
    <row r="15" spans="1:34" s="272" customFormat="1" ht="20.100000000000001" customHeight="1">
      <c r="A15" s="324" t="s">
        <v>15613</v>
      </c>
      <c r="B15" s="215" t="s">
        <v>1131</v>
      </c>
      <c r="C15" s="219" t="s">
        <v>2173</v>
      </c>
      <c r="D15" s="278"/>
      <c r="E15" s="215" t="s">
        <v>1105</v>
      </c>
      <c r="F15" s="215" t="s">
        <v>15613</v>
      </c>
      <c r="G15" s="215" t="s">
        <v>13459</v>
      </c>
      <c r="H15" s="216">
        <v>0</v>
      </c>
      <c r="I15" s="217" t="s">
        <v>1780</v>
      </c>
      <c r="J15" s="217" t="s">
        <v>13066</v>
      </c>
      <c r="K15" s="268"/>
      <c r="L15" s="268"/>
      <c r="M15" s="268"/>
      <c r="N15" s="268"/>
      <c r="O15" s="268"/>
      <c r="P15" s="218"/>
      <c r="Q15" s="269"/>
      <c r="R15" s="215" t="str">
        <f ca="1">IF(ISERROR($V15),"",OFFSET('Smelter Look-up'!$C$4,$V15-4,0)&amp;"")</f>
        <v>PT Refined Bangka Tin</v>
      </c>
      <c r="S15" s="222" t="str">
        <f t="shared" ca="1" si="3"/>
        <v>ID</v>
      </c>
      <c r="T15" s="222" t="str">
        <f ca="1">IF(B15="","",IF(ISERROR(MATCH($J15,SorP!$B$1:$B$6230,0)),"",INDIRECT("'SorP'!$A$"&amp;MATCH($J15,SorP!$B$1:$B$6230,0))))</f>
        <v>ID-BB</v>
      </c>
      <c r="U15" s="238"/>
      <c r="V15" s="270">
        <f>IF(C15="",NA(),MATCH($B15&amp;$C15,'Smelter Look-up'!$J:$J,0))</f>
        <v>487</v>
      </c>
      <c r="W15" s="271"/>
      <c r="X15" s="271">
        <f t="shared" si="4"/>
        <v>0</v>
      </c>
      <c r="Y15" s="271"/>
      <c r="Z15" s="271"/>
      <c r="AB15" s="273" t="str">
        <f t="shared" si="5"/>
        <v>TinPT Refined Bangka Tin</v>
      </c>
    </row>
    <row r="16" spans="1:34" s="272" customFormat="1" ht="20.100000000000001" customHeight="1">
      <c r="A16" s="324" t="s">
        <v>783</v>
      </c>
      <c r="B16" s="215" t="s">
        <v>1131</v>
      </c>
      <c r="C16" s="219" t="s">
        <v>2173</v>
      </c>
      <c r="D16" s="278"/>
      <c r="E16" s="215" t="s">
        <v>1105</v>
      </c>
      <c r="F16" s="215" t="s">
        <v>783</v>
      </c>
      <c r="G16" s="215" t="s">
        <v>13459</v>
      </c>
      <c r="H16" s="216">
        <v>0</v>
      </c>
      <c r="I16" s="217" t="s">
        <v>1780</v>
      </c>
      <c r="J16" s="217" t="s">
        <v>13066</v>
      </c>
      <c r="K16" s="268"/>
      <c r="L16" s="268"/>
      <c r="M16" s="268"/>
      <c r="N16" s="268"/>
      <c r="O16" s="268"/>
      <c r="P16" s="218"/>
      <c r="Q16" s="269"/>
      <c r="R16" s="215" t="str">
        <f ca="1">IF(ISERROR($V16),"",OFFSET('Smelter Look-up'!$C$4,$V16-4,0)&amp;"")</f>
        <v>PT Refined Bangka Tin</v>
      </c>
      <c r="S16" s="222" t="str">
        <f t="shared" ca="1" si="3"/>
        <v>ID</v>
      </c>
      <c r="T16" s="222" t="str">
        <f ca="1">IF(B16="","",IF(ISERROR(MATCH($J16,SorP!$B$1:$B$6230,0)),"",INDIRECT("'SorP'!$A$"&amp;MATCH($J16,SorP!$B$1:$B$6230,0))))</f>
        <v>ID-BB</v>
      </c>
      <c r="U16" s="238"/>
      <c r="V16" s="270">
        <f>IF(C16="",NA(),MATCH($B16&amp;$C16,'Smelter Look-up'!$J:$J,0))</f>
        <v>487</v>
      </c>
      <c r="W16" s="271"/>
      <c r="X16" s="271">
        <f t="shared" si="4"/>
        <v>0</v>
      </c>
      <c r="Y16" s="271"/>
      <c r="Z16" s="271"/>
      <c r="AB16" s="273" t="str">
        <f t="shared" si="5"/>
        <v>TinPT Refined Bangka Tin</v>
      </c>
    </row>
    <row r="17" spans="1:28" s="272" customFormat="1" ht="20.100000000000001" customHeight="1">
      <c r="A17" s="324" t="s">
        <v>783</v>
      </c>
      <c r="B17" s="215" t="s">
        <v>1131</v>
      </c>
      <c r="C17" s="219" t="s">
        <v>2173</v>
      </c>
      <c r="D17" s="278"/>
      <c r="E17" s="215" t="s">
        <v>1105</v>
      </c>
      <c r="F17" s="215" t="s">
        <v>783</v>
      </c>
      <c r="G17" s="215" t="s">
        <v>13459</v>
      </c>
      <c r="H17" s="216">
        <v>0</v>
      </c>
      <c r="I17" s="217" t="s">
        <v>1780</v>
      </c>
      <c r="J17" s="217" t="s">
        <v>13066</v>
      </c>
      <c r="K17" s="268"/>
      <c r="L17" s="268"/>
      <c r="M17" s="268"/>
      <c r="N17" s="268"/>
      <c r="O17" s="268"/>
      <c r="P17" s="218"/>
      <c r="Q17" s="269"/>
      <c r="R17" s="215" t="str">
        <f ca="1">IF(ISERROR($V17),"",OFFSET('Smelter Look-up'!$C$4,$V17-4,0)&amp;"")</f>
        <v>PT Refined Bangka Tin</v>
      </c>
      <c r="S17" s="222" t="str">
        <f t="shared" ca="1" si="3"/>
        <v>ID</v>
      </c>
      <c r="T17" s="222" t="str">
        <f ca="1">IF(B17="","",IF(ISERROR(MATCH($J17,SorP!$B$1:$B$6230,0)),"",INDIRECT("'SorP'!$A$"&amp;MATCH($J17,SorP!$B$1:$B$6230,0))))</f>
        <v>ID-BB</v>
      </c>
      <c r="U17" s="238"/>
      <c r="V17" s="270">
        <f>IF(C17="",NA(),MATCH($B17&amp;$C17,'Smelter Look-up'!$J:$J,0))</f>
        <v>487</v>
      </c>
      <c r="W17" s="271"/>
      <c r="X17" s="271">
        <f t="shared" si="4"/>
        <v>0</v>
      </c>
      <c r="Y17" s="271"/>
      <c r="Z17" s="271"/>
      <c r="AB17" s="273" t="str">
        <f t="shared" si="5"/>
        <v>TinPT Refined Bangka Tin</v>
      </c>
    </row>
    <row r="18" spans="1:28" s="272" customFormat="1" ht="20.100000000000001" customHeight="1">
      <c r="A18" s="214" t="s">
        <v>804</v>
      </c>
      <c r="B18" s="215" t="s">
        <v>1131</v>
      </c>
      <c r="C18" s="219" t="s">
        <v>14026</v>
      </c>
      <c r="D18" s="278"/>
      <c r="E18" s="215" t="s">
        <v>1105</v>
      </c>
      <c r="F18" s="215" t="s">
        <v>804</v>
      </c>
      <c r="G18" s="215" t="s">
        <v>13459</v>
      </c>
      <c r="H18" s="216">
        <v>0</v>
      </c>
      <c r="I18" s="217" t="s">
        <v>1806</v>
      </c>
      <c r="J18" s="217" t="s">
        <v>6135</v>
      </c>
      <c r="K18" s="268"/>
      <c r="L18" s="268"/>
      <c r="M18" s="268"/>
      <c r="N18" s="268"/>
      <c r="O18" s="268"/>
      <c r="P18" s="218"/>
      <c r="Q18" s="269"/>
      <c r="R18" s="215" t="str">
        <f ca="1">IF(ISERROR($V18),"",OFFSET('Smelter Look-up'!$C$4,$V18-4,0)&amp;"")</f>
        <v>PT Timah Tbk Kundur</v>
      </c>
      <c r="S18" s="222" t="str">
        <f t="shared" ca="1" si="3"/>
        <v>ID</v>
      </c>
      <c r="T18" s="222" t="str">
        <f ca="1">IF(B18="","",IF(ISERROR(MATCH($J18,SorP!$B$1:$B$6230,0)),"",INDIRECT("'SorP'!$A$"&amp;MATCH($J18,SorP!$B$1:$B$6230,0))))</f>
        <v>ID-RI</v>
      </c>
      <c r="U18" s="238"/>
      <c r="V18" s="270">
        <f>IF(C18="",NA(),MATCH($B18&amp;$C18,'Smelter Look-up'!$J:$J,0))</f>
        <v>491</v>
      </c>
      <c r="W18" s="271"/>
      <c r="X18" s="271">
        <f t="shared" si="4"/>
        <v>0</v>
      </c>
      <c r="Y18" s="271"/>
      <c r="Z18" s="271"/>
      <c r="AB18" s="273" t="str">
        <f t="shared" si="5"/>
        <v>TinPT Timah Tbk Kundur</v>
      </c>
    </row>
    <row r="19" spans="1:28" s="272" customFormat="1" ht="49.2">
      <c r="A19" s="214" t="s">
        <v>784</v>
      </c>
      <c r="B19" s="215" t="s">
        <v>1131</v>
      </c>
      <c r="C19" s="219" t="s">
        <v>14025</v>
      </c>
      <c r="D19" s="278"/>
      <c r="E19" s="215" t="s">
        <v>1105</v>
      </c>
      <c r="F19" s="215" t="s">
        <v>784</v>
      </c>
      <c r="G19" s="215" t="s">
        <v>13459</v>
      </c>
      <c r="H19" s="216">
        <v>0</v>
      </c>
      <c r="I19" s="217" t="s">
        <v>1808</v>
      </c>
      <c r="J19" s="217" t="s">
        <v>13066</v>
      </c>
      <c r="K19" s="268"/>
      <c r="L19" s="268"/>
      <c r="M19" s="268"/>
      <c r="N19" s="268"/>
      <c r="O19" s="268"/>
      <c r="P19" s="218"/>
      <c r="Q19" s="269"/>
      <c r="R19" s="215" t="str">
        <f ca="1">IF(ISERROR($V19),"",OFFSET('Smelter Look-up'!$C$4,$V19-4,0)&amp;"")</f>
        <v>PT Timah Tbk Mentok</v>
      </c>
      <c r="S19" s="222" t="str">
        <f t="shared" ca="1" si="3"/>
        <v>ID</v>
      </c>
      <c r="T19" s="222" t="str">
        <f ca="1">IF(B19="","",IF(ISERROR(MATCH($J19,SorP!$B$1:$B$6230,0)),"",INDIRECT("'SorP'!$A$"&amp;MATCH($J19,SorP!$B$1:$B$6230,0))))</f>
        <v>ID-BB</v>
      </c>
      <c r="U19" s="238"/>
      <c r="V19" s="270">
        <f>IF(C19="",NA(),MATCH($B19&amp;$C19,'Smelter Look-up'!$J:$J,0))</f>
        <v>492</v>
      </c>
      <c r="W19" s="271"/>
      <c r="X19" s="271">
        <f t="shared" si="4"/>
        <v>0</v>
      </c>
      <c r="Y19" s="271"/>
      <c r="Z19" s="271"/>
      <c r="AB19" s="273" t="str">
        <f t="shared" si="5"/>
        <v>TinPT Timah Tbk Mentok</v>
      </c>
    </row>
    <row r="20" spans="1:28" s="272" customFormat="1" ht="24.6">
      <c r="A20" s="214" t="s">
        <v>786</v>
      </c>
      <c r="B20" s="215" t="s">
        <v>1131</v>
      </c>
      <c r="C20" s="219" t="s">
        <v>785</v>
      </c>
      <c r="D20" s="278"/>
      <c r="E20" s="215" t="s">
        <v>2462</v>
      </c>
      <c r="F20" s="215" t="s">
        <v>786</v>
      </c>
      <c r="G20" s="215"/>
      <c r="H20" s="216">
        <v>0</v>
      </c>
      <c r="I20" s="217" t="s">
        <v>14059</v>
      </c>
      <c r="J20" s="217" t="s">
        <v>1711</v>
      </c>
      <c r="K20" s="268"/>
      <c r="L20" s="268"/>
      <c r="M20" s="268"/>
      <c r="N20" s="268"/>
      <c r="O20" s="268"/>
      <c r="P20" s="218"/>
      <c r="Q20" s="269"/>
      <c r="R20" s="215" t="str">
        <f ca="1">IF(ISERROR($V20),"",OFFSET('Smelter Look-up'!$C$4,$V20-4,0)&amp;"")</f>
        <v>Rui Da Hung</v>
      </c>
      <c r="S20" s="222" t="str">
        <f t="shared" ca="1" si="3"/>
        <v>TW</v>
      </c>
      <c r="T20" s="222" t="str">
        <f ca="1">IF(B20="","",IF(ISERROR(MATCH($J20,SorP!$B$1:$B$6230,0)),"",INDIRECT("'SorP'!$A$"&amp;MATCH($J20,SorP!$B$1:$B$6230,0))))</f>
        <v>TW-TAO</v>
      </c>
      <c r="U20" s="238"/>
      <c r="V20" s="270">
        <f>IF(C20="",NA(),MATCH($B20&amp;$C20,'Smelter Look-up'!$J:$J,0))</f>
        <v>497</v>
      </c>
      <c r="W20" s="271"/>
      <c r="X20" s="271">
        <f t="shared" si="4"/>
        <v>0</v>
      </c>
      <c r="Y20" s="271"/>
      <c r="Z20" s="271"/>
      <c r="AB20" s="273" t="str">
        <f t="shared" si="5"/>
        <v>TinRui Da Hung</v>
      </c>
    </row>
    <row r="21" spans="1:28" s="272" customFormat="1" ht="36.9">
      <c r="A21" s="214" t="s">
        <v>787</v>
      </c>
      <c r="B21" s="215" t="s">
        <v>1131</v>
      </c>
      <c r="C21" s="219" t="s">
        <v>2178</v>
      </c>
      <c r="D21" s="278"/>
      <c r="E21" s="215" t="s">
        <v>1096</v>
      </c>
      <c r="F21" s="215" t="s">
        <v>787</v>
      </c>
      <c r="G21" s="215" t="s">
        <v>13459</v>
      </c>
      <c r="H21" s="216">
        <v>0</v>
      </c>
      <c r="I21" s="217" t="s">
        <v>1809</v>
      </c>
      <c r="J21" s="217" t="s">
        <v>1683</v>
      </c>
      <c r="K21" s="268"/>
      <c r="L21" s="268"/>
      <c r="M21" s="268"/>
      <c r="N21" s="268"/>
      <c r="O21" s="268"/>
      <c r="P21" s="218"/>
      <c r="Q21" s="269"/>
      <c r="R21" s="215" t="str">
        <f ca="1">IF(ISERROR($V21),"",OFFSET('Smelter Look-up'!$C$4,$V21-4,0)&amp;"")</f>
        <v>Soft Metais Ltda.</v>
      </c>
      <c r="S21" s="222" t="str">
        <f t="shared" ca="1" si="3"/>
        <v>BR</v>
      </c>
      <c r="T21" s="222" t="str">
        <f ca="1">IF(B21="","",IF(ISERROR(MATCH($J21,SorP!$B$1:$B$6230,0)),"",INDIRECT("'SorP'!$A$"&amp;MATCH($J21,SorP!$B$1:$B$6230,0))))</f>
        <v>BR-SP</v>
      </c>
      <c r="U21" s="238"/>
      <c r="V21" s="270">
        <f>IF(C21="",NA(),MATCH($B21&amp;$C21,'Smelter Look-up'!$J:$J,0))</f>
        <v>499</v>
      </c>
      <c r="W21" s="271"/>
      <c r="X21" s="271">
        <f t="shared" si="4"/>
        <v>0</v>
      </c>
      <c r="Y21" s="271"/>
      <c r="Z21" s="271"/>
      <c r="AB21" s="273" t="str">
        <f t="shared" si="5"/>
        <v>TinSoft Metais Ltda.</v>
      </c>
    </row>
    <row r="22" spans="1:28" s="272" customFormat="1" ht="24.6">
      <c r="A22" s="214" t="s">
        <v>788</v>
      </c>
      <c r="B22" s="215" t="s">
        <v>1131</v>
      </c>
      <c r="C22" s="219" t="s">
        <v>1031</v>
      </c>
      <c r="D22" s="278"/>
      <c r="E22" s="215" t="s">
        <v>888</v>
      </c>
      <c r="F22" s="215" t="s">
        <v>788</v>
      </c>
      <c r="G22" s="215" t="s">
        <v>13459</v>
      </c>
      <c r="H22" s="216">
        <v>0</v>
      </c>
      <c r="I22" s="217" t="s">
        <v>1810</v>
      </c>
      <c r="J22" s="217" t="s">
        <v>1811</v>
      </c>
      <c r="K22" s="268"/>
      <c r="L22" s="268"/>
      <c r="M22" s="268"/>
      <c r="N22" s="268"/>
      <c r="O22" s="268"/>
      <c r="P22" s="218"/>
      <c r="Q22" s="269"/>
      <c r="R22" s="215" t="str">
        <f ca="1">IF(ISERROR($V22),"",OFFSET('Smelter Look-up'!$C$4,$V22-4,0)&amp;"")</f>
        <v>Thaisarco</v>
      </c>
      <c r="S22" s="222" t="str">
        <f t="shared" ca="1" si="3"/>
        <v>TH</v>
      </c>
      <c r="T22" s="222" t="str">
        <f ca="1">IF(B22="","",IF(ISERROR(MATCH($J22,SorP!$B$1:$B$6230,0)),"",INDIRECT("'SorP'!$A$"&amp;MATCH($J22,SorP!$B$1:$B$6230,0))))</f>
        <v>TH-83</v>
      </c>
      <c r="U22" s="238"/>
      <c r="V22" s="270">
        <f>IF(C22="",NA(),MATCH($B22&amp;$C22,'Smelter Look-up'!$J:$J,0))</f>
        <v>504</v>
      </c>
      <c r="W22" s="271"/>
      <c r="X22" s="271">
        <f t="shared" si="4"/>
        <v>0</v>
      </c>
      <c r="Y22" s="271"/>
      <c r="Z22" s="271"/>
      <c r="AB22" s="273" t="str">
        <f t="shared" si="5"/>
        <v>TinThaisarco</v>
      </c>
    </row>
    <row r="23" spans="1:28" s="272" customFormat="1" ht="73.8">
      <c r="A23" s="214" t="s">
        <v>789</v>
      </c>
      <c r="B23" s="215" t="s">
        <v>1131</v>
      </c>
      <c r="C23" s="219" t="s">
        <v>2566</v>
      </c>
      <c r="D23" s="278"/>
      <c r="E23" s="215" t="s">
        <v>1096</v>
      </c>
      <c r="F23" s="215" t="s">
        <v>789</v>
      </c>
      <c r="G23" s="215" t="s">
        <v>13459</v>
      </c>
      <c r="H23" s="216">
        <v>0</v>
      </c>
      <c r="I23" s="217" t="s">
        <v>1779</v>
      </c>
      <c r="J23" s="217" t="s">
        <v>1783</v>
      </c>
      <c r="K23" s="268"/>
      <c r="L23" s="268"/>
      <c r="M23" s="268"/>
      <c r="N23" s="268"/>
      <c r="O23" s="268"/>
      <c r="P23" s="218"/>
      <c r="Q23" s="269"/>
      <c r="R23" s="215" t="str">
        <f ca="1">IF(ISERROR($V23),"",OFFSET('Smelter Look-up'!$C$4,$V23-4,0)&amp;"")</f>
        <v>White Solder Metalurgia e Mineracao Ltda.</v>
      </c>
      <c r="S23" s="222" t="str">
        <f t="shared" ca="1" si="3"/>
        <v>BR</v>
      </c>
      <c r="T23" s="222" t="str">
        <f ca="1">IF(B23="","",IF(ISERROR(MATCH($J23,SorP!$B$1:$B$6230,0)),"",INDIRECT("'SorP'!$A$"&amp;MATCH($J23,SorP!$B$1:$B$6230,0))))</f>
        <v>BR-RO</v>
      </c>
      <c r="U23" s="238"/>
      <c r="V23" s="270">
        <f>IF(C23="",NA(),MATCH($B23&amp;$C23,'Smelter Look-up'!$J:$J,0))</f>
        <v>512</v>
      </c>
      <c r="W23" s="271"/>
      <c r="X23" s="271">
        <f t="shared" si="4"/>
        <v>0</v>
      </c>
      <c r="Y23" s="271"/>
      <c r="Z23" s="271"/>
      <c r="AB23" s="273" t="str">
        <f t="shared" si="5"/>
        <v>TinWhite Solder Metalurgia e Mineracao Ltda.</v>
      </c>
    </row>
    <row r="24" spans="1:28" s="272" customFormat="1" ht="61.5">
      <c r="A24" s="214" t="s">
        <v>791</v>
      </c>
      <c r="B24" s="215" t="s">
        <v>1131</v>
      </c>
      <c r="C24" s="219" t="s">
        <v>2370</v>
      </c>
      <c r="D24" s="278"/>
      <c r="E24" s="215" t="s">
        <v>1100</v>
      </c>
      <c r="F24" s="215" t="s">
        <v>791</v>
      </c>
      <c r="G24" s="215" t="s">
        <v>13459</v>
      </c>
      <c r="H24" s="216">
        <v>0</v>
      </c>
      <c r="I24" s="217" t="s">
        <v>2477</v>
      </c>
      <c r="J24" s="217" t="s">
        <v>13851</v>
      </c>
      <c r="K24" s="268"/>
      <c r="L24" s="268"/>
      <c r="M24" s="268"/>
      <c r="N24" s="268"/>
      <c r="O24" s="268"/>
      <c r="P24" s="218"/>
      <c r="Q24" s="269"/>
      <c r="R24" s="215" t="str">
        <f ca="1">IF(ISERROR($V24),"",OFFSET('Smelter Look-up'!$C$4,$V24-4,0)&amp;"")</f>
        <v>Yunnan Tin Company Limited</v>
      </c>
      <c r="S24" s="222" t="str">
        <f t="shared" ca="1" si="3"/>
        <v>CN</v>
      </c>
      <c r="T24" s="222" t="str">
        <f ca="1">IF(B24="","",IF(ISERROR(MATCH($J24,SorP!$B$1:$B$6230,0)),"",INDIRECT("'SorP'!$A$"&amp;MATCH($J24,SorP!$B$1:$B$6230,0))))</f>
        <v>CN-YN</v>
      </c>
      <c r="U24" s="238"/>
      <c r="V24" s="270">
        <f>IF(C24="",NA(),MATCH($B24&amp;$C24,'Smelter Look-up'!$J:$J,0))</f>
        <v>524</v>
      </c>
      <c r="W24" s="271"/>
      <c r="X24" s="271">
        <f t="shared" si="4"/>
        <v>0</v>
      </c>
      <c r="Y24" s="271"/>
      <c r="Z24" s="271"/>
      <c r="AB24" s="273" t="str">
        <f t="shared" si="5"/>
        <v>TinYunnan Tin Company Limited</v>
      </c>
    </row>
    <row r="25" spans="1:28" s="272" customFormat="1" ht="49.2">
      <c r="A25" s="214" t="s">
        <v>782</v>
      </c>
      <c r="B25" s="215" t="s">
        <v>1131</v>
      </c>
      <c r="C25" s="219" t="s">
        <v>627</v>
      </c>
      <c r="D25" s="278"/>
      <c r="E25" s="215" t="s">
        <v>1105</v>
      </c>
      <c r="F25" s="215" t="s">
        <v>782</v>
      </c>
      <c r="G25" s="215" t="s">
        <v>13459</v>
      </c>
      <c r="H25" s="216">
        <v>0</v>
      </c>
      <c r="I25" s="217"/>
      <c r="J25" s="217" t="s">
        <v>13066</v>
      </c>
      <c r="K25" s="268"/>
      <c r="L25" s="268"/>
      <c r="M25" s="268"/>
      <c r="N25" s="268"/>
      <c r="O25" s="268"/>
      <c r="P25" s="218"/>
      <c r="Q25" s="269"/>
      <c r="R25" s="215" t="str">
        <f ca="1">IF(ISERROR($V25),"",OFFSET('Smelter Look-up'!$C$4,$V25-4,0)&amp;"")</f>
        <v>PT Mitra Stania Prima</v>
      </c>
      <c r="S25" s="222" t="str">
        <f t="shared" ca="1" si="3"/>
        <v>ID</v>
      </c>
      <c r="T25" s="222" t="str">
        <f ca="1">IF(B25="","",IF(ISERROR(MATCH($J25,SorP!$B$1:$B$6230,0)),"",INDIRECT("'SorP'!$A$"&amp;MATCH($J25,SorP!$B$1:$B$6230,0))))</f>
        <v>ID-BB</v>
      </c>
      <c r="U25" s="238"/>
      <c r="V25" s="270">
        <f>IF(C25="",NA(),MATCH($B25&amp;$C25,'Smelter Look-up'!$J:$J,0))</f>
        <v>482</v>
      </c>
      <c r="W25" s="271"/>
      <c r="X25" s="271">
        <f t="shared" si="4"/>
        <v>0</v>
      </c>
      <c r="Y25" s="271"/>
      <c r="Z25" s="271"/>
      <c r="AB25" s="273" t="str">
        <f t="shared" si="5"/>
        <v>TinPT Mitra Stania Prima</v>
      </c>
    </row>
    <row r="26" spans="1:28" s="272" customFormat="1" ht="24.6">
      <c r="A26" s="214" t="s">
        <v>15402</v>
      </c>
      <c r="B26" s="215" t="s">
        <v>1131</v>
      </c>
      <c r="C26" s="219" t="e">
        <v>#N/A</v>
      </c>
      <c r="D26" s="278" t="s">
        <v>15401</v>
      </c>
      <c r="E26" s="215" t="s">
        <v>1105</v>
      </c>
      <c r="F26" s="215" t="s">
        <v>15402</v>
      </c>
      <c r="G26" s="215" t="s">
        <v>13459</v>
      </c>
      <c r="H26" s="216"/>
      <c r="I26" s="217" t="s">
        <v>15438</v>
      </c>
      <c r="J26" s="217" t="s">
        <v>13066</v>
      </c>
      <c r="K26" s="268"/>
      <c r="L26" s="268"/>
      <c r="M26" s="268"/>
      <c r="N26" s="268"/>
      <c r="O26" s="268"/>
      <c r="P26" s="218"/>
      <c r="Q26" s="269"/>
      <c r="R26" s="215" t="str">
        <f ca="1">IF(ISERROR($V26),"",OFFSET('Smelter Look-up'!$C$4,$V26-4,0)&amp;"")</f>
        <v/>
      </c>
      <c r="S26" s="222" t="str">
        <f t="shared" ca="1" si="3"/>
        <v>ID</v>
      </c>
      <c r="T26" s="222" t="str">
        <f ca="1">IF(B26="","",IF(ISERROR(MATCH($J26,SorP!$B$1:$B$6230,0)),"",INDIRECT("'SorP'!$A$"&amp;MATCH($J26,SorP!$B$1:$B$6230,0))))</f>
        <v>ID-BB</v>
      </c>
      <c r="U26" s="238"/>
      <c r="V26" s="270" t="e">
        <f>IF(C26="",NA(),MATCH($B26&amp;$C26,'Smelter Look-up'!$J:$J,0))</f>
        <v>#N/A</v>
      </c>
      <c r="W26" s="271"/>
      <c r="X26" s="271" t="e">
        <f t="shared" si="4"/>
        <v>#N/A</v>
      </c>
      <c r="Y26" s="271"/>
      <c r="Z26" s="271"/>
      <c r="AB26" s="273" t="e">
        <f t="shared" si="5"/>
        <v>#N/A</v>
      </c>
    </row>
    <row r="27" spans="1:28" s="272" customFormat="1" ht="49.2">
      <c r="A27" s="214" t="s">
        <v>784</v>
      </c>
      <c r="B27" s="215" t="s">
        <v>1131</v>
      </c>
      <c r="C27" s="219" t="s">
        <v>14025</v>
      </c>
      <c r="D27" s="278"/>
      <c r="E27" s="215" t="s">
        <v>1105</v>
      </c>
      <c r="F27" s="215" t="s">
        <v>784</v>
      </c>
      <c r="G27" s="215" t="s">
        <v>13459</v>
      </c>
      <c r="H27" s="216">
        <v>0</v>
      </c>
      <c r="I27" s="217" t="s">
        <v>1808</v>
      </c>
      <c r="J27" s="217" t="s">
        <v>13066</v>
      </c>
      <c r="K27" s="268"/>
      <c r="L27" s="268"/>
      <c r="M27" s="268"/>
      <c r="N27" s="268"/>
      <c r="O27" s="268"/>
      <c r="P27" s="218"/>
      <c r="Q27" s="269"/>
      <c r="R27" s="215" t="str">
        <f ca="1">IF(ISERROR($V27),"",OFFSET('Smelter Look-up'!$C$4,$V27-4,0)&amp;"")</f>
        <v>PT Timah Tbk Mentok</v>
      </c>
      <c r="S27" s="222" t="str">
        <f t="shared" ca="1" si="3"/>
        <v>ID</v>
      </c>
      <c r="T27" s="222" t="str">
        <f ca="1">IF(B27="","",IF(ISERROR(MATCH($J27,SorP!$B$1:$B$6230,0)),"",INDIRECT("'SorP'!$A$"&amp;MATCH($J27,SorP!$B$1:$B$6230,0))))</f>
        <v>ID-BB</v>
      </c>
      <c r="U27" s="238"/>
      <c r="V27" s="270">
        <f>IF(C27="",NA(),MATCH($B27&amp;$C27,'Smelter Look-up'!$J:$J,0))</f>
        <v>492</v>
      </c>
      <c r="W27" s="271"/>
      <c r="X27" s="271">
        <f t="shared" si="4"/>
        <v>0</v>
      </c>
      <c r="Y27" s="271"/>
      <c r="Z27" s="271"/>
      <c r="AB27" s="273" t="str">
        <f t="shared" si="5"/>
        <v>TinPT Timah Tbk Mentok</v>
      </c>
    </row>
    <row r="28" spans="1:28" s="272" customFormat="1" ht="49.2">
      <c r="A28" s="214" t="s">
        <v>780</v>
      </c>
      <c r="B28" s="215" t="s">
        <v>1131</v>
      </c>
      <c r="C28" s="219" t="s">
        <v>14029</v>
      </c>
      <c r="D28" s="278"/>
      <c r="E28" s="215" t="s">
        <v>2461</v>
      </c>
      <c r="F28" s="215" t="s">
        <v>780</v>
      </c>
      <c r="G28" s="215" t="s">
        <v>13459</v>
      </c>
      <c r="H28" s="216">
        <v>0</v>
      </c>
      <c r="I28" s="217" t="s">
        <v>1782</v>
      </c>
      <c r="J28" s="217" t="s">
        <v>1782</v>
      </c>
      <c r="K28" s="268"/>
      <c r="L28" s="268"/>
      <c r="M28" s="268"/>
      <c r="N28" s="268"/>
      <c r="O28" s="268"/>
      <c r="P28" s="218"/>
      <c r="Q28" s="269"/>
      <c r="R28" s="215" t="str">
        <f ca="1">IF(ISERROR($V28),"",OFFSET('Smelter Look-up'!$C$4,$V28-4,0)&amp;"")</f>
        <v>Operaciones Metalurgicas S.A.</v>
      </c>
      <c r="S28" s="222" t="str">
        <f t="shared" ca="1" si="3"/>
        <v>BO</v>
      </c>
      <c r="T28" s="222" t="str">
        <f ca="1">IF(B28="","",IF(ISERROR(MATCH($J28,SorP!$B$1:$B$6230,0)),"",INDIRECT("'SorP'!$A$"&amp;MATCH($J28,SorP!$B$1:$B$6230,0))))</f>
        <v>BO-O</v>
      </c>
      <c r="U28" s="238"/>
      <c r="V28" s="270">
        <f>IF(C28="",NA(),MATCH($B28&amp;$C28,'Smelter Look-up'!$J:$J,0))</f>
        <v>471</v>
      </c>
      <c r="W28" s="271"/>
      <c r="X28" s="271">
        <f t="shared" si="4"/>
        <v>0</v>
      </c>
      <c r="Y28" s="271"/>
      <c r="Z28" s="271"/>
      <c r="AB28" s="273" t="str">
        <f t="shared" si="5"/>
        <v>TinOperaciones Metalurgicas S.A.</v>
      </c>
    </row>
    <row r="29" spans="1:28" s="272" customFormat="1" ht="73.8">
      <c r="A29" s="214" t="s">
        <v>1414</v>
      </c>
      <c r="B29" s="215" t="s">
        <v>1132</v>
      </c>
      <c r="C29" s="219" t="s">
        <v>1413</v>
      </c>
      <c r="D29" s="278"/>
      <c r="E29" s="215" t="s">
        <v>2463</v>
      </c>
      <c r="F29" s="215" t="s">
        <v>1414</v>
      </c>
      <c r="G29" s="215" t="s">
        <v>13459</v>
      </c>
      <c r="H29" s="216">
        <v>0</v>
      </c>
      <c r="I29" s="217" t="s">
        <v>1767</v>
      </c>
      <c r="J29" s="217" t="s">
        <v>1749</v>
      </c>
      <c r="K29" s="268"/>
      <c r="L29" s="268"/>
      <c r="M29" s="268"/>
      <c r="N29" s="268"/>
      <c r="O29" s="268"/>
      <c r="P29" s="218"/>
      <c r="Q29" s="269"/>
      <c r="R29" s="215" t="str">
        <f ca="1">IF(ISERROR($V29),"",OFFSET('Smelter Look-up'!$C$4,$V29-4,0)&amp;"")</f>
        <v>Global Advanced Metals Boyertown</v>
      </c>
      <c r="S29" s="222" t="str">
        <f t="shared" ca="1" si="3"/>
        <v>US</v>
      </c>
      <c r="T29" s="222" t="str">
        <f ca="1">IF(B29="","",IF(ISERROR(MATCH($J29,SorP!$B$1:$B$6230,0)),"",INDIRECT("'SorP'!$A$"&amp;MATCH($J29,SorP!$B$1:$B$6230,0))))</f>
        <v>US-PA</v>
      </c>
      <c r="U29" s="238"/>
      <c r="V29" s="270">
        <f>IF(C29="",NA(),MATCH($B29&amp;$C29,'Smelter Look-up'!$J:$J,0))</f>
        <v>324</v>
      </c>
      <c r="W29" s="271"/>
      <c r="X29" s="271">
        <f t="shared" si="4"/>
        <v>0</v>
      </c>
      <c r="Y29" s="271"/>
      <c r="Z29" s="271"/>
      <c r="AB29" s="273" t="str">
        <f t="shared" si="5"/>
        <v>TantalumGlobal Advanced Metals Boyertown</v>
      </c>
    </row>
    <row r="30" spans="1:28" s="272" customFormat="1" ht="24.6">
      <c r="A30" s="214" t="s">
        <v>766</v>
      </c>
      <c r="B30" s="215" t="s">
        <v>1131</v>
      </c>
      <c r="C30" s="219" t="s">
        <v>49</v>
      </c>
      <c r="D30" s="278"/>
      <c r="E30" s="215" t="s">
        <v>2463</v>
      </c>
      <c r="F30" s="215" t="s">
        <v>766</v>
      </c>
      <c r="G30" s="215" t="s">
        <v>13459</v>
      </c>
      <c r="H30" s="216">
        <v>0</v>
      </c>
      <c r="I30" s="217" t="s">
        <v>1773</v>
      </c>
      <c r="J30" s="217" t="s">
        <v>1749</v>
      </c>
      <c r="K30" s="268"/>
      <c r="L30" s="268"/>
      <c r="M30" s="268"/>
      <c r="N30" s="268"/>
      <c r="O30" s="268"/>
      <c r="P30" s="218"/>
      <c r="Q30" s="269"/>
      <c r="R30" s="215" t="str">
        <f ca="1">IF(ISERROR($V30),"",OFFSET('Smelter Look-up'!$C$4,$V30-4,0)&amp;"")</f>
        <v>Alpha</v>
      </c>
      <c r="S30" s="222" t="str">
        <f t="shared" ca="1" si="3"/>
        <v>US</v>
      </c>
      <c r="T30" s="222" t="str">
        <f ca="1">IF(B30="","",IF(ISERROR(MATCH($J30,SorP!$B$1:$B$6230,0)),"",INDIRECT("'SorP'!$A$"&amp;MATCH($J30,SorP!$B$1:$B$6230,0))))</f>
        <v>US-PA</v>
      </c>
      <c r="U30" s="238"/>
      <c r="V30" s="270">
        <f>IF(C30="",NA(),MATCH($B30&amp;$C30,'Smelter Look-up'!$J:$J,0))</f>
        <v>384</v>
      </c>
      <c r="W30" s="271"/>
      <c r="X30" s="271">
        <f t="shared" si="4"/>
        <v>0</v>
      </c>
      <c r="Y30" s="271"/>
      <c r="Z30" s="271"/>
      <c r="AB30" s="273" t="str">
        <f t="shared" si="5"/>
        <v>TinAlpha</v>
      </c>
    </row>
    <row r="31" spans="1:28" s="272" customFormat="1" ht="61.5">
      <c r="A31" s="214" t="s">
        <v>793</v>
      </c>
      <c r="B31" s="215" t="s">
        <v>1133</v>
      </c>
      <c r="C31" s="219" t="s">
        <v>148</v>
      </c>
      <c r="D31" s="278"/>
      <c r="E31" s="215" t="s">
        <v>2463</v>
      </c>
      <c r="F31" s="215" t="s">
        <v>793</v>
      </c>
      <c r="G31" s="215" t="s">
        <v>13459</v>
      </c>
      <c r="H31" s="216">
        <v>0</v>
      </c>
      <c r="I31" s="217" t="s">
        <v>1837</v>
      </c>
      <c r="J31" s="217" t="s">
        <v>1838</v>
      </c>
      <c r="K31" s="268"/>
      <c r="L31" s="268"/>
      <c r="M31" s="268"/>
      <c r="N31" s="268"/>
      <c r="O31" s="268"/>
      <c r="P31" s="218"/>
      <c r="Q31" s="269"/>
      <c r="R31" s="215" t="str">
        <f ca="1">IF(ISERROR($V31),"",OFFSET('Smelter Look-up'!$C$4,$V31-4,0)&amp;"")</f>
        <v>Kennametal Huntsville</v>
      </c>
      <c r="S31" s="222" t="str">
        <f t="shared" ca="1" si="3"/>
        <v>US</v>
      </c>
      <c r="T31" s="222" t="str">
        <f ca="1">IF(B31="","",IF(ISERROR(MATCH($J31,SorP!$B$1:$B$6230,0)),"",INDIRECT("'SorP'!$A$"&amp;MATCH($J31,SorP!$B$1:$B$6230,0))))</f>
        <v>US-AL</v>
      </c>
      <c r="U31" s="238"/>
      <c r="V31" s="270">
        <f>IF(C31="",NA(),MATCH($B31&amp;$C31,'Smelter Look-up'!$J:$J,0))</f>
        <v>583</v>
      </c>
      <c r="W31" s="271"/>
      <c r="X31" s="271">
        <f t="shared" si="4"/>
        <v>0</v>
      </c>
      <c r="Y31" s="271"/>
      <c r="Z31" s="271"/>
      <c r="AB31" s="273" t="str">
        <f t="shared" si="5"/>
        <v>TungstenKennametal Huntsville</v>
      </c>
    </row>
    <row r="32" spans="1:28" s="272" customFormat="1" ht="36.9">
      <c r="A32" s="214" t="s">
        <v>792</v>
      </c>
      <c r="B32" s="215" t="s">
        <v>1133</v>
      </c>
      <c r="C32" s="219" t="s">
        <v>14037</v>
      </c>
      <c r="D32" s="278"/>
      <c r="E32" s="215" t="s">
        <v>1108</v>
      </c>
      <c r="F32" s="215" t="s">
        <v>792</v>
      </c>
      <c r="G32" s="215" t="s">
        <v>13459</v>
      </c>
      <c r="H32" s="216">
        <v>0</v>
      </c>
      <c r="I32" s="217" t="s">
        <v>2148</v>
      </c>
      <c r="J32" s="217" t="s">
        <v>2149</v>
      </c>
      <c r="K32" s="268"/>
      <c r="L32" s="268"/>
      <c r="M32" s="268"/>
      <c r="N32" s="268"/>
      <c r="O32" s="268"/>
      <c r="P32" s="218"/>
      <c r="Q32" s="269"/>
      <c r="R32" s="215" t="str">
        <f ca="1">IF(ISERROR($V32),"",OFFSET('Smelter Look-up'!$C$4,$V32-4,0)&amp;"")</f>
        <v>A.L.M.T. Corp.</v>
      </c>
      <c r="S32" s="222" t="str">
        <f t="shared" ca="1" si="3"/>
        <v>JP</v>
      </c>
      <c r="T32" s="222" t="str">
        <f ca="1">IF(B32="","",IF(ISERROR(MATCH($J32,SorP!$B$1:$B$6230,0)),"",INDIRECT("'SorP'!$A$"&amp;MATCH($J32,SorP!$B$1:$B$6230,0))))</f>
        <v>JP-16</v>
      </c>
      <c r="U32" s="238"/>
      <c r="V32" s="270">
        <f>IF(C32="",NA(),MATCH($B32&amp;$C32,'Smelter Look-up'!$J:$J,0))</f>
        <v>533</v>
      </c>
      <c r="W32" s="271"/>
      <c r="X32" s="271">
        <f t="shared" si="4"/>
        <v>0</v>
      </c>
      <c r="Y32" s="271"/>
      <c r="Z32" s="271"/>
      <c r="AB32" s="273" t="str">
        <f t="shared" si="5"/>
        <v>TungstenA.L.M.T. Corp.</v>
      </c>
    </row>
    <row r="33" spans="1:28" s="272" customFormat="1" ht="73.8">
      <c r="A33" s="214" t="s">
        <v>1385</v>
      </c>
      <c r="B33" s="215" t="s">
        <v>1130</v>
      </c>
      <c r="C33" s="219" t="s">
        <v>1384</v>
      </c>
      <c r="D33" s="278"/>
      <c r="E33" s="215" t="s">
        <v>2463</v>
      </c>
      <c r="F33" s="215" t="s">
        <v>1385</v>
      </c>
      <c r="G33" s="215" t="s">
        <v>13459</v>
      </c>
      <c r="H33" s="216">
        <v>0</v>
      </c>
      <c r="I33" s="217" t="s">
        <v>1545</v>
      </c>
      <c r="J33" s="217" t="s">
        <v>1546</v>
      </c>
      <c r="K33" s="268"/>
      <c r="L33" s="268"/>
      <c r="M33" s="268"/>
      <c r="N33" s="268"/>
      <c r="O33" s="268"/>
      <c r="P33" s="218"/>
      <c r="Q33" s="269"/>
      <c r="R33" s="215" t="str">
        <f ca="1">IF(ISERROR($V33),"",OFFSET('Smelter Look-up'!$C$4,$V33-4,0)&amp;"")</f>
        <v>Advanced Chemical Company</v>
      </c>
      <c r="S33" s="222" t="str">
        <f t="shared" ca="1" si="3"/>
        <v>US</v>
      </c>
      <c r="T33" s="222" t="str">
        <f ca="1">IF(B33="","",IF(ISERROR(MATCH($J33,SorP!$B$1:$B$6230,0)),"",INDIRECT("'SorP'!$A$"&amp;MATCH($J33,SorP!$B$1:$B$6230,0))))</f>
        <v>US-RI</v>
      </c>
      <c r="U33" s="238"/>
      <c r="V33" s="270">
        <f>IF(C33="",NA(),MATCH($B33&amp;$C33,'Smelter Look-up'!$J:$J,0))</f>
        <v>7</v>
      </c>
      <c r="W33" s="271"/>
      <c r="X33" s="271">
        <f t="shared" si="4"/>
        <v>0</v>
      </c>
      <c r="Y33" s="271"/>
      <c r="Z33" s="271"/>
      <c r="AB33" s="273" t="str">
        <f t="shared" si="5"/>
        <v>GoldAdvanced Chemical Company</v>
      </c>
    </row>
    <row r="34" spans="1:28" s="272" customFormat="1" ht="73.8">
      <c r="A34" s="214" t="s">
        <v>650</v>
      </c>
      <c r="B34" s="215" t="s">
        <v>1130</v>
      </c>
      <c r="C34" s="219" t="s">
        <v>2156</v>
      </c>
      <c r="D34" s="278"/>
      <c r="E34" s="215" t="s">
        <v>1108</v>
      </c>
      <c r="F34" s="215" t="s">
        <v>650</v>
      </c>
      <c r="G34" s="215" t="s">
        <v>13459</v>
      </c>
      <c r="H34" s="216">
        <v>0</v>
      </c>
      <c r="I34" s="217" t="s">
        <v>1547</v>
      </c>
      <c r="J34" s="217" t="s">
        <v>1548</v>
      </c>
      <c r="K34" s="268"/>
      <c r="L34" s="268"/>
      <c r="M34" s="268"/>
      <c r="N34" s="268"/>
      <c r="O34" s="268"/>
      <c r="P34" s="218"/>
      <c r="Q34" s="269"/>
      <c r="R34" s="215" t="str">
        <f ca="1">IF(ISERROR($V34),"",OFFSET('Smelter Look-up'!$C$4,$V34-4,0)&amp;"")</f>
        <v>Aida Chemical Industries Co., Ltd.</v>
      </c>
      <c r="S34" s="222" t="str">
        <f t="shared" ca="1" si="3"/>
        <v>JP</v>
      </c>
      <c r="T34" s="222" t="str">
        <f ca="1">IF(B34="","",IF(ISERROR(MATCH($J34,SorP!$B$1:$B$6230,0)),"",INDIRECT("'SorP'!$A$"&amp;MATCH($J34,SorP!$B$1:$B$6230,0))))</f>
        <v>JP-13</v>
      </c>
      <c r="U34" s="238"/>
      <c r="V34" s="270">
        <f>IF(C34="",NA(),MATCH($B34&amp;$C34,'Smelter Look-up'!$J:$J,0))</f>
        <v>11</v>
      </c>
      <c r="W34" s="271"/>
      <c r="X34" s="271">
        <f t="shared" si="4"/>
        <v>0</v>
      </c>
      <c r="Y34" s="271"/>
      <c r="Z34" s="271"/>
      <c r="AB34" s="273" t="str">
        <f t="shared" si="5"/>
        <v>GoldAida Chemical Industries Co., Ltd.</v>
      </c>
    </row>
    <row r="35" spans="1:28" s="272" customFormat="1" ht="86.1">
      <c r="A35" s="214" t="s">
        <v>651</v>
      </c>
      <c r="B35" s="215" t="s">
        <v>1130</v>
      </c>
      <c r="C35" s="219" t="s">
        <v>52</v>
      </c>
      <c r="D35" s="278"/>
      <c r="E35" s="215" t="s">
        <v>1101</v>
      </c>
      <c r="F35" s="215" t="s">
        <v>651</v>
      </c>
      <c r="G35" s="215" t="s">
        <v>13459</v>
      </c>
      <c r="H35" s="216">
        <v>0</v>
      </c>
      <c r="I35" s="217" t="s">
        <v>1549</v>
      </c>
      <c r="J35" s="217" t="s">
        <v>1550</v>
      </c>
      <c r="K35" s="268"/>
      <c r="L35" s="268"/>
      <c r="M35" s="268"/>
      <c r="N35" s="268"/>
      <c r="O35" s="268"/>
      <c r="P35" s="218"/>
      <c r="Q35" s="269"/>
      <c r="R35" s="215" t="str">
        <f ca="1">IF(ISERROR($V35),"",OFFSET('Smelter Look-up'!$C$4,$V35-4,0)&amp;"")</f>
        <v>Allgemeine Gold-und Silberscheideanstalt A.G.</v>
      </c>
      <c r="S35" s="222" t="str">
        <f t="shared" ca="1" si="3"/>
        <v>DE</v>
      </c>
      <c r="T35" s="222" t="str">
        <f ca="1">IF(B35="","",IF(ISERROR(MATCH($J35,SorP!$B$1:$B$6230,0)),"",INDIRECT("'SorP'!$A$"&amp;MATCH($J35,SorP!$B$1:$B$6230,0))))</f>
        <v>DE-BW</v>
      </c>
      <c r="U35" s="238"/>
      <c r="V35" s="270">
        <f>IF(C35="",NA(),MATCH($B35&amp;$C35,'Smelter Look-up'!$J:$J,0))</f>
        <v>16</v>
      </c>
      <c r="W35" s="271"/>
      <c r="X35" s="271">
        <f t="shared" si="4"/>
        <v>0</v>
      </c>
      <c r="Y35" s="271"/>
      <c r="Z35" s="271"/>
      <c r="AB35" s="273" t="str">
        <f t="shared" si="5"/>
        <v>GoldAllgemeine Gold-und Silberscheideanstalt A.G.</v>
      </c>
    </row>
    <row r="36" spans="1:28" s="272" customFormat="1" ht="98.4">
      <c r="A36" s="214" t="s">
        <v>652</v>
      </c>
      <c r="B36" s="215" t="s">
        <v>1130</v>
      </c>
      <c r="C36" s="219" t="s">
        <v>624</v>
      </c>
      <c r="D36" s="278"/>
      <c r="E36" s="215" t="s">
        <v>891</v>
      </c>
      <c r="F36" s="215" t="s">
        <v>652</v>
      </c>
      <c r="G36" s="215" t="s">
        <v>13459</v>
      </c>
      <c r="H36" s="216">
        <v>0</v>
      </c>
      <c r="I36" s="217" t="s">
        <v>1551</v>
      </c>
      <c r="J36" s="217" t="s">
        <v>12224</v>
      </c>
      <c r="K36" s="268"/>
      <c r="L36" s="268"/>
      <c r="M36" s="268"/>
      <c r="N36" s="268"/>
      <c r="O36" s="268"/>
      <c r="P36" s="218"/>
      <c r="Q36" s="269"/>
      <c r="R36" s="215" t="str">
        <f ca="1">IF(ISERROR($V36),"",OFFSET('Smelter Look-up'!$C$4,$V36-4,0)&amp;"")</f>
        <v>Almalyk Mining and Metallurgical Complex (AMMC)</v>
      </c>
      <c r="S36" s="222" t="str">
        <f t="shared" ca="1" si="3"/>
        <v>UZ</v>
      </c>
      <c r="T36" s="222" t="str">
        <f ca="1">IF(B36="","",IF(ISERROR(MATCH($J36,SorP!$B$1:$B$6230,0)),"",INDIRECT("'SorP'!$A$"&amp;MATCH($J36,SorP!$B$1:$B$6230,0))))</f>
        <v>UZ-TK</v>
      </c>
      <c r="U36" s="238"/>
      <c r="V36" s="270">
        <f>IF(C36="",NA(),MATCH($B36&amp;$C36,'Smelter Look-up'!$J:$J,0))</f>
        <v>17</v>
      </c>
      <c r="W36" s="271"/>
      <c r="X36" s="271">
        <f t="shared" si="4"/>
        <v>0</v>
      </c>
      <c r="Y36" s="271"/>
      <c r="Z36" s="271"/>
      <c r="AB36" s="273" t="str">
        <f t="shared" si="5"/>
        <v>GoldAlmalyk Mining and Metallurgical Complex (AMMC)</v>
      </c>
    </row>
    <row r="37" spans="1:28" s="272" customFormat="1" ht="86.1">
      <c r="A37" s="214" t="s">
        <v>653</v>
      </c>
      <c r="B37" s="215" t="s">
        <v>1130</v>
      </c>
      <c r="C37" s="219" t="s">
        <v>12640</v>
      </c>
      <c r="D37" s="278"/>
      <c r="E37" s="215" t="s">
        <v>1096</v>
      </c>
      <c r="F37" s="215" t="s">
        <v>653</v>
      </c>
      <c r="G37" s="215" t="s">
        <v>13459</v>
      </c>
      <c r="H37" s="216">
        <v>0</v>
      </c>
      <c r="I37" s="217" t="s">
        <v>1553</v>
      </c>
      <c r="J37" s="217" t="s">
        <v>1554</v>
      </c>
      <c r="K37" s="268"/>
      <c r="L37" s="268"/>
      <c r="M37" s="268"/>
      <c r="N37" s="268"/>
      <c r="O37" s="268"/>
      <c r="P37" s="218"/>
      <c r="Q37" s="269"/>
      <c r="R37" s="215" t="str">
        <f ca="1">IF(ISERROR($V37),"",OFFSET('Smelter Look-up'!$C$4,$V37-4,0)&amp;"")</f>
        <v>AngloGold Ashanti Corrego do Sitio Mineracao</v>
      </c>
      <c r="S37" s="222" t="str">
        <f t="shared" ca="1" si="3"/>
        <v>BR</v>
      </c>
      <c r="T37" s="222" t="str">
        <f ca="1">IF(B37="","",IF(ISERROR(MATCH($J37,SorP!$B$1:$B$6230,0)),"",INDIRECT("'SorP'!$A$"&amp;MATCH($J37,SorP!$B$1:$B$6230,0))))</f>
        <v>BR-MG</v>
      </c>
      <c r="U37" s="238"/>
      <c r="V37" s="270">
        <f>IF(C37="",NA(),MATCH($B37&amp;$C37,'Smelter Look-up'!$J:$J,0))</f>
        <v>20</v>
      </c>
      <c r="W37" s="271"/>
      <c r="X37" s="271">
        <f t="shared" si="4"/>
        <v>0</v>
      </c>
      <c r="Y37" s="271"/>
      <c r="Z37" s="271"/>
      <c r="AB37" s="273" t="str">
        <f t="shared" si="5"/>
        <v>GoldAngloGold Ashanti Corrego do Sitio Mineracao</v>
      </c>
    </row>
    <row r="38" spans="1:28" s="272" customFormat="1" ht="49.2">
      <c r="A38" s="214" t="s">
        <v>654</v>
      </c>
      <c r="B38" s="215" t="s">
        <v>1130</v>
      </c>
      <c r="C38" s="219" t="s">
        <v>2309</v>
      </c>
      <c r="D38" s="278"/>
      <c r="E38" s="215" t="s">
        <v>1098</v>
      </c>
      <c r="F38" s="215" t="s">
        <v>654</v>
      </c>
      <c r="G38" s="215" t="s">
        <v>13459</v>
      </c>
      <c r="H38" s="216">
        <v>0</v>
      </c>
      <c r="I38" s="217" t="s">
        <v>1555</v>
      </c>
      <c r="J38" s="217" t="s">
        <v>1556</v>
      </c>
      <c r="K38" s="268"/>
      <c r="L38" s="268"/>
      <c r="M38" s="268"/>
      <c r="N38" s="268"/>
      <c r="O38" s="268"/>
      <c r="P38" s="218"/>
      <c r="Q38" s="269"/>
      <c r="R38" s="215" t="str">
        <f ca="1">IF(ISERROR($V38),"",OFFSET('Smelter Look-up'!$C$4,$V38-4,0)&amp;"")</f>
        <v>Argor-Heraeus S.A.</v>
      </c>
      <c r="S38" s="222" t="str">
        <f t="shared" ref="S38:S68" ca="1" si="6">IF(B38="","",IF(ISERROR(MATCH($E38,CL,0)),"Unknown",INDIRECT("'C'!$A$"&amp;MATCH($E38,CL,0)+1)))</f>
        <v>CH</v>
      </c>
      <c r="T38" s="222" t="str">
        <f ca="1">IF(B38="","",IF(ISERROR(MATCH($J38,SorP!$B$1:$B$6230,0)),"",INDIRECT("'SorP'!$A$"&amp;MATCH($J38,SorP!$B$1:$B$6230,0))))</f>
        <v>CH-TI</v>
      </c>
      <c r="U38" s="238"/>
      <c r="V38" s="270">
        <f>IF(C38="",NA(),MATCH($B38&amp;$C38,'Smelter Look-up'!$J:$J,0))</f>
        <v>25</v>
      </c>
      <c r="W38" s="271"/>
      <c r="X38" s="271">
        <f t="shared" ref="X38:X68" si="7">IF(AND(C38="Smelter not listed",OR(LEN(D38)=0,LEN(E38)=0)),1,0)</f>
        <v>0</v>
      </c>
      <c r="Y38" s="271"/>
      <c r="Z38" s="271"/>
      <c r="AB38" s="273" t="str">
        <f t="shared" ref="AB38:AB68" si="8">B38&amp;C38</f>
        <v>GoldArgor-Heraeus S.A.</v>
      </c>
    </row>
    <row r="39" spans="1:28" s="272" customFormat="1" ht="36.9">
      <c r="A39" s="214" t="s">
        <v>655</v>
      </c>
      <c r="B39" s="215" t="s">
        <v>1130</v>
      </c>
      <c r="C39" s="219" t="s">
        <v>2310</v>
      </c>
      <c r="D39" s="278"/>
      <c r="E39" s="215" t="s">
        <v>1108</v>
      </c>
      <c r="F39" s="215" t="s">
        <v>655</v>
      </c>
      <c r="G39" s="215" t="s">
        <v>13459</v>
      </c>
      <c r="H39" s="216">
        <v>0</v>
      </c>
      <c r="I39" s="217" t="s">
        <v>1557</v>
      </c>
      <c r="J39" s="217" t="s">
        <v>1558</v>
      </c>
      <c r="K39" s="268"/>
      <c r="L39" s="268"/>
      <c r="M39" s="268"/>
      <c r="N39" s="268"/>
      <c r="O39" s="268"/>
      <c r="P39" s="218"/>
      <c r="Q39" s="269"/>
      <c r="R39" s="215" t="str">
        <f ca="1">IF(ISERROR($V39),"",OFFSET('Smelter Look-up'!$C$4,$V39-4,0)&amp;"")</f>
        <v>Asahi Pretec Corp.</v>
      </c>
      <c r="S39" s="222" t="str">
        <f t="shared" ca="1" si="6"/>
        <v>JP</v>
      </c>
      <c r="T39" s="222" t="str">
        <f ca="1">IF(B39="","",IF(ISERROR(MATCH($J39,SorP!$B$1:$B$6230,0)),"",INDIRECT("'SorP'!$A$"&amp;MATCH($J39,SorP!$B$1:$B$6230,0))))</f>
        <v>JP-28</v>
      </c>
      <c r="U39" s="238"/>
      <c r="V39" s="270">
        <f>IF(C39="",NA(),MATCH($B39&amp;$C39,'Smelter Look-up'!$J:$J,0))</f>
        <v>26</v>
      </c>
      <c r="W39" s="271"/>
      <c r="X39" s="271">
        <f t="shared" si="7"/>
        <v>0</v>
      </c>
      <c r="Y39" s="271"/>
      <c r="Z39" s="271"/>
      <c r="AB39" s="273" t="str">
        <f t="shared" si="8"/>
        <v>GoldAsahi Pretec Corp.</v>
      </c>
    </row>
    <row r="40" spans="1:28" s="272" customFormat="1" ht="36.9">
      <c r="A40" s="214" t="s">
        <v>656</v>
      </c>
      <c r="B40" s="215" t="s">
        <v>1130</v>
      </c>
      <c r="C40" s="219" t="s">
        <v>2157</v>
      </c>
      <c r="D40" s="278"/>
      <c r="E40" s="215" t="s">
        <v>1108</v>
      </c>
      <c r="F40" s="215" t="s">
        <v>656</v>
      </c>
      <c r="G40" s="215" t="s">
        <v>13459</v>
      </c>
      <c r="H40" s="216">
        <v>0</v>
      </c>
      <c r="I40" s="217" t="s">
        <v>1560</v>
      </c>
      <c r="J40" s="217" t="s">
        <v>1561</v>
      </c>
      <c r="K40" s="268"/>
      <c r="L40" s="268"/>
      <c r="M40" s="268"/>
      <c r="N40" s="268"/>
      <c r="O40" s="268"/>
      <c r="P40" s="218"/>
      <c r="Q40" s="269"/>
      <c r="R40" s="215" t="str">
        <f ca="1">IF(ISERROR($V40),"",OFFSET('Smelter Look-up'!$C$4,$V40-4,0)&amp;"")</f>
        <v>Asaka Riken Co., Ltd.</v>
      </c>
      <c r="S40" s="222" t="str">
        <f t="shared" ca="1" si="6"/>
        <v>JP</v>
      </c>
      <c r="T40" s="222" t="str">
        <f ca="1">IF(B40="","",IF(ISERROR(MATCH($J40,SorP!$B$1:$B$6230,0)),"",INDIRECT("'SorP'!$A$"&amp;MATCH($J40,SorP!$B$1:$B$6230,0))))</f>
        <v>JP-07</v>
      </c>
      <c r="U40" s="238"/>
      <c r="V40" s="270">
        <f>IF(C40="",NA(),MATCH($B40&amp;$C40,'Smelter Look-up'!$J:$J,0))</f>
        <v>29</v>
      </c>
      <c r="W40" s="271"/>
      <c r="X40" s="271">
        <f t="shared" si="7"/>
        <v>0</v>
      </c>
      <c r="Y40" s="271"/>
      <c r="Z40" s="271"/>
      <c r="AB40" s="273" t="str">
        <f t="shared" si="8"/>
        <v>GoldAsaka Riken Co., Ltd.</v>
      </c>
    </row>
    <row r="41" spans="1:28" s="272" customFormat="1" ht="61.5">
      <c r="A41" s="214" t="s">
        <v>793</v>
      </c>
      <c r="B41" s="215" t="s">
        <v>1133</v>
      </c>
      <c r="C41" s="219" t="s">
        <v>148</v>
      </c>
      <c r="D41" s="278"/>
      <c r="E41" s="215" t="s">
        <v>2463</v>
      </c>
      <c r="F41" s="215" t="s">
        <v>793</v>
      </c>
      <c r="G41" s="215" t="s">
        <v>13459</v>
      </c>
      <c r="H41" s="216">
        <v>0</v>
      </c>
      <c r="I41" s="217" t="s">
        <v>1837</v>
      </c>
      <c r="J41" s="217" t="s">
        <v>1838</v>
      </c>
      <c r="K41" s="268"/>
      <c r="L41" s="268"/>
      <c r="M41" s="268"/>
      <c r="N41" s="268"/>
      <c r="O41" s="268"/>
      <c r="P41" s="218"/>
      <c r="Q41" s="269"/>
      <c r="R41" s="215" t="str">
        <f ca="1">IF(ISERROR($V41),"",OFFSET('Smelter Look-up'!$C$4,$V41-4,0)&amp;"")</f>
        <v>Kennametal Huntsville</v>
      </c>
      <c r="S41" s="222" t="str">
        <f t="shared" ca="1" si="6"/>
        <v>US</v>
      </c>
      <c r="T41" s="222" t="str">
        <f ca="1">IF(B41="","",IF(ISERROR(MATCH($J41,SorP!$B$1:$B$6230,0)),"",INDIRECT("'SorP'!$A$"&amp;MATCH($J41,SorP!$B$1:$B$6230,0))))</f>
        <v>US-AL</v>
      </c>
      <c r="U41" s="238"/>
      <c r="V41" s="270">
        <f>IF(C41="",NA(),MATCH($B41&amp;$C41,'Smelter Look-up'!$J:$J,0))</f>
        <v>583</v>
      </c>
      <c r="W41" s="271"/>
      <c r="X41" s="271">
        <f t="shared" si="7"/>
        <v>0</v>
      </c>
      <c r="Y41" s="271"/>
      <c r="Z41" s="271"/>
      <c r="AB41" s="273" t="str">
        <f t="shared" si="8"/>
        <v>TungstenKennametal Huntsville</v>
      </c>
    </row>
    <row r="42" spans="1:28" s="272" customFormat="1" ht="24.6">
      <c r="A42" s="214" t="s">
        <v>658</v>
      </c>
      <c r="B42" s="215" t="s">
        <v>1130</v>
      </c>
      <c r="C42" s="219" t="s">
        <v>1224</v>
      </c>
      <c r="D42" s="278"/>
      <c r="E42" s="215" t="s">
        <v>1101</v>
      </c>
      <c r="F42" s="215" t="s">
        <v>658</v>
      </c>
      <c r="G42" s="215" t="s">
        <v>13459</v>
      </c>
      <c r="H42" s="216">
        <v>0</v>
      </c>
      <c r="I42" s="217" t="s">
        <v>1563</v>
      </c>
      <c r="J42" s="217" t="s">
        <v>1563</v>
      </c>
      <c r="K42" s="268"/>
      <c r="L42" s="268"/>
      <c r="M42" s="268"/>
      <c r="N42" s="268"/>
      <c r="O42" s="268"/>
      <c r="P42" s="218"/>
      <c r="Q42" s="269"/>
      <c r="R42" s="215" t="str">
        <f ca="1">IF(ISERROR($V42),"",OFFSET('Smelter Look-up'!$C$4,$V42-4,0)&amp;"")</f>
        <v>Aurubis AG</v>
      </c>
      <c r="S42" s="222" t="str">
        <f t="shared" ca="1" si="6"/>
        <v>DE</v>
      </c>
      <c r="T42" s="222" t="str">
        <f ca="1">IF(B42="","",IF(ISERROR(MATCH($J42,SorP!$B$1:$B$6230,0)),"",INDIRECT("'SorP'!$A$"&amp;MATCH($J42,SorP!$B$1:$B$6230,0))))</f>
        <v>DE-HH</v>
      </c>
      <c r="U42" s="238"/>
      <c r="V42" s="270">
        <f>IF(C42="",NA(),MATCH($B42&amp;$C42,'Smelter Look-up'!$J:$J,0))</f>
        <v>34</v>
      </c>
      <c r="W42" s="271"/>
      <c r="X42" s="271">
        <f t="shared" si="7"/>
        <v>0</v>
      </c>
      <c r="Y42" s="271"/>
      <c r="Z42" s="271"/>
      <c r="AB42" s="273" t="str">
        <f t="shared" si="8"/>
        <v>GoldAurubis AG</v>
      </c>
    </row>
    <row r="43" spans="1:28" s="272" customFormat="1" ht="24.6">
      <c r="A43" s="214" t="s">
        <v>660</v>
      </c>
      <c r="B43" s="215" t="s">
        <v>1130</v>
      </c>
      <c r="C43" s="219" t="s">
        <v>1226</v>
      </c>
      <c r="D43" s="278"/>
      <c r="E43" s="215" t="s">
        <v>887</v>
      </c>
      <c r="F43" s="215" t="s">
        <v>660</v>
      </c>
      <c r="G43" s="215" t="s">
        <v>13459</v>
      </c>
      <c r="H43" s="216">
        <v>0</v>
      </c>
      <c r="I43" s="217" t="s">
        <v>1565</v>
      </c>
      <c r="J43" s="217" t="s">
        <v>10485</v>
      </c>
      <c r="K43" s="268"/>
      <c r="L43" s="268"/>
      <c r="M43" s="268"/>
      <c r="N43" s="268"/>
      <c r="O43" s="268"/>
      <c r="P43" s="218"/>
      <c r="Q43" s="269"/>
      <c r="R43" s="215" t="str">
        <f ca="1">IF(ISERROR($V43),"",OFFSET('Smelter Look-up'!$C$4,$V43-4,0)&amp;"")</f>
        <v>Boliden AB</v>
      </c>
      <c r="S43" s="222" t="str">
        <f t="shared" ca="1" si="6"/>
        <v>SE</v>
      </c>
      <c r="T43" s="222" t="str">
        <f ca="1">IF(B43="","",IF(ISERROR(MATCH($J43,SorP!$B$1:$B$6230,0)),"",INDIRECT("'SorP'!$A$"&amp;MATCH($J43,SorP!$B$1:$B$6230,0))))</f>
        <v>SE-AC</v>
      </c>
      <c r="U43" s="238"/>
      <c r="V43" s="270">
        <f>IF(C43="",NA(),MATCH($B43&amp;$C43,'Smelter Look-up'!$J:$J,0))</f>
        <v>39</v>
      </c>
      <c r="W43" s="271"/>
      <c r="X43" s="271">
        <f t="shared" si="7"/>
        <v>0</v>
      </c>
      <c r="Y43" s="271"/>
      <c r="Z43" s="271"/>
      <c r="AB43" s="273" t="str">
        <f t="shared" si="8"/>
        <v>GoldBoliden AB</v>
      </c>
    </row>
    <row r="44" spans="1:28" s="272" customFormat="1" ht="49.2">
      <c r="A44" s="214" t="s">
        <v>662</v>
      </c>
      <c r="B44" s="215" t="s">
        <v>1130</v>
      </c>
      <c r="C44" s="219" t="s">
        <v>661</v>
      </c>
      <c r="D44" s="278"/>
      <c r="E44" s="215" t="s">
        <v>1101</v>
      </c>
      <c r="F44" s="215" t="s">
        <v>662</v>
      </c>
      <c r="G44" s="215" t="s">
        <v>13459</v>
      </c>
      <c r="H44" s="216">
        <v>0</v>
      </c>
      <c r="I44" s="217" t="s">
        <v>1549</v>
      </c>
      <c r="J44" s="217" t="s">
        <v>1550</v>
      </c>
      <c r="K44" s="268"/>
      <c r="L44" s="268"/>
      <c r="M44" s="268"/>
      <c r="N44" s="268"/>
      <c r="O44" s="268"/>
      <c r="P44" s="218"/>
      <c r="Q44" s="269"/>
      <c r="R44" s="215" t="str">
        <f ca="1">IF(ISERROR($V44),"",OFFSET('Smelter Look-up'!$C$4,$V44-4,0)&amp;"")</f>
        <v>C. Hafner GmbH + Co. KG</v>
      </c>
      <c r="S44" s="222" t="str">
        <f t="shared" ca="1" si="6"/>
        <v>DE</v>
      </c>
      <c r="T44" s="222" t="str">
        <f ca="1">IF(B44="","",IF(ISERROR(MATCH($J44,SorP!$B$1:$B$6230,0)),"",INDIRECT("'SorP'!$A$"&amp;MATCH($J44,SorP!$B$1:$B$6230,0))))</f>
        <v>DE-BW</v>
      </c>
      <c r="U44" s="238"/>
      <c r="V44" s="270">
        <f>IF(C44="",NA(),MATCH($B44&amp;$C44,'Smelter Look-up'!$J:$J,0))</f>
        <v>40</v>
      </c>
      <c r="W44" s="271"/>
      <c r="X44" s="271">
        <f t="shared" si="7"/>
        <v>0</v>
      </c>
      <c r="Y44" s="271"/>
      <c r="Z44" s="271"/>
      <c r="AB44" s="273" t="str">
        <f t="shared" si="8"/>
        <v>GoldC. Hafner GmbH + Co. KG</v>
      </c>
    </row>
    <row r="45" spans="1:28" s="272" customFormat="1" ht="86.1">
      <c r="A45" s="214" t="s">
        <v>664</v>
      </c>
      <c r="B45" s="215" t="s">
        <v>1130</v>
      </c>
      <c r="C45" s="219" t="s">
        <v>2259</v>
      </c>
      <c r="D45" s="278"/>
      <c r="E45" s="215" t="s">
        <v>1097</v>
      </c>
      <c r="F45" s="215" t="s">
        <v>664</v>
      </c>
      <c r="G45" s="215" t="s">
        <v>13459</v>
      </c>
      <c r="H45" s="216">
        <v>0</v>
      </c>
      <c r="I45" s="217" t="s">
        <v>1568</v>
      </c>
      <c r="J45" s="217" t="s">
        <v>1569</v>
      </c>
      <c r="K45" s="268"/>
      <c r="L45" s="268"/>
      <c r="M45" s="268"/>
      <c r="N45" s="268"/>
      <c r="O45" s="268"/>
      <c r="P45" s="218"/>
      <c r="Q45" s="269"/>
      <c r="R45" s="215" t="str">
        <f ca="1">IF(ISERROR($V45),"",OFFSET('Smelter Look-up'!$C$4,$V45-4,0)&amp;"")</f>
        <v>CCR Refinery - Glencore Canada Corporation</v>
      </c>
      <c r="S45" s="222" t="str">
        <f t="shared" ca="1" si="6"/>
        <v>CA</v>
      </c>
      <c r="T45" s="222" t="str">
        <f ca="1">IF(B45="","",IF(ISERROR(MATCH($J45,SorP!$B$1:$B$6230,0)),"",INDIRECT("'SorP'!$A$"&amp;MATCH($J45,SorP!$B$1:$B$6230,0))))</f>
        <v>CA-QC</v>
      </c>
      <c r="U45" s="238"/>
      <c r="V45" s="270">
        <f>IF(C45="",NA(),MATCH($B45&amp;$C45,'Smelter Look-up'!$J:$J,0))</f>
        <v>44</v>
      </c>
      <c r="W45" s="271"/>
      <c r="X45" s="271">
        <f t="shared" si="7"/>
        <v>0</v>
      </c>
      <c r="Y45" s="271"/>
      <c r="Z45" s="271"/>
      <c r="AB45" s="273" t="str">
        <f t="shared" si="8"/>
        <v>GoldCCR Refinery - Glencore Canada Corporation</v>
      </c>
    </row>
    <row r="46" spans="1:28" s="272" customFormat="1" ht="98.4">
      <c r="A46" s="214" t="s">
        <v>747</v>
      </c>
      <c r="B46" s="215" t="s">
        <v>1132</v>
      </c>
      <c r="C46" s="219" t="s">
        <v>2</v>
      </c>
      <c r="D46" s="278"/>
      <c r="E46" s="215" t="s">
        <v>1100</v>
      </c>
      <c r="F46" s="215" t="s">
        <v>747</v>
      </c>
      <c r="G46" s="215" t="s">
        <v>13459</v>
      </c>
      <c r="H46" s="216">
        <v>0</v>
      </c>
      <c r="I46" s="217" t="s">
        <v>1597</v>
      </c>
      <c r="J46" s="217" t="s">
        <v>13846</v>
      </c>
      <c r="K46" s="268"/>
      <c r="L46" s="268"/>
      <c r="M46" s="268"/>
      <c r="N46" s="268"/>
      <c r="O46" s="268"/>
      <c r="P46" s="218"/>
      <c r="Q46" s="269"/>
      <c r="R46" s="215" t="str">
        <f ca="1">IF(ISERROR($V46),"",OFFSET('Smelter Look-up'!$C$4,$V46-4,0)&amp;"")</f>
        <v>Changsha South Tantalum Niobium Co., Ltd.</v>
      </c>
      <c r="S46" s="222" t="str">
        <f t="shared" ca="1" si="6"/>
        <v>CN</v>
      </c>
      <c r="T46" s="222" t="str">
        <f ca="1">IF(B46="","",IF(ISERROR(MATCH($J46,SorP!$B$1:$B$6230,0)),"",INDIRECT("'SorP'!$A$"&amp;MATCH($J46,SorP!$B$1:$B$6230,0))))</f>
        <v>CN-HN</v>
      </c>
      <c r="U46" s="238"/>
      <c r="V46" s="270">
        <f>IF(C46="",NA(),MATCH($B46&amp;$C46,'Smelter Look-up'!$J:$J,0))</f>
        <v>316</v>
      </c>
      <c r="W46" s="271"/>
      <c r="X46" s="271">
        <f t="shared" si="7"/>
        <v>0</v>
      </c>
      <c r="Y46" s="271"/>
      <c r="Z46" s="271"/>
      <c r="AB46" s="273" t="str">
        <f t="shared" si="8"/>
        <v>TantalumChangsha South Tantalum Niobium Co., Ltd.</v>
      </c>
    </row>
    <row r="47" spans="1:28" s="272" customFormat="1" ht="86.1">
      <c r="A47" s="214" t="s">
        <v>794</v>
      </c>
      <c r="B47" s="215" t="s">
        <v>1133</v>
      </c>
      <c r="C47" s="219" t="s">
        <v>1380</v>
      </c>
      <c r="D47" s="278"/>
      <c r="E47" s="215" t="s">
        <v>1100</v>
      </c>
      <c r="F47" s="215" t="s">
        <v>794</v>
      </c>
      <c r="G47" s="215" t="s">
        <v>13459</v>
      </c>
      <c r="H47" s="216">
        <v>0</v>
      </c>
      <c r="I47" s="217" t="s">
        <v>1839</v>
      </c>
      <c r="J47" s="217" t="s">
        <v>13847</v>
      </c>
      <c r="K47" s="268"/>
      <c r="L47" s="268"/>
      <c r="M47" s="268"/>
      <c r="N47" s="268"/>
      <c r="O47" s="268"/>
      <c r="P47" s="218"/>
      <c r="Q47" s="269"/>
      <c r="R47" s="215" t="str">
        <f ca="1">IF(ISERROR($V47),"",OFFSET('Smelter Look-up'!$C$4,$V47-4,0)&amp;"")</f>
        <v>Guangdong Xianglu Tungsten Co., Ltd.</v>
      </c>
      <c r="S47" s="222" t="str">
        <f t="shared" ca="1" si="6"/>
        <v>CN</v>
      </c>
      <c r="T47" s="222" t="str">
        <f ca="1">IF(B47="","",IF(ISERROR(MATCH($J47,SorP!$B$1:$B$6230,0)),"",INDIRECT("'SorP'!$A$"&amp;MATCH($J47,SorP!$B$1:$B$6230,0))))</f>
        <v>CN-GD</v>
      </c>
      <c r="U47" s="238"/>
      <c r="V47" s="270">
        <f>IF(C47="",NA(),MATCH($B47&amp;$C47,'Smelter Look-up'!$J:$J,0))</f>
        <v>562</v>
      </c>
      <c r="W47" s="271"/>
      <c r="X47" s="271">
        <f t="shared" si="7"/>
        <v>0</v>
      </c>
      <c r="Y47" s="271"/>
      <c r="Z47" s="271"/>
      <c r="AB47" s="273" t="str">
        <f t="shared" si="8"/>
        <v>TungstenGuangdong Xianglu Tungsten Co., Ltd.</v>
      </c>
    </row>
    <row r="48" spans="1:28" s="272" customFormat="1" ht="98.4">
      <c r="A48" s="214" t="s">
        <v>2303</v>
      </c>
      <c r="B48" s="215" t="s">
        <v>1131</v>
      </c>
      <c r="C48" s="219" t="s">
        <v>2363</v>
      </c>
      <c r="D48" s="278"/>
      <c r="E48" s="215" t="s">
        <v>1100</v>
      </c>
      <c r="F48" s="215" t="s">
        <v>2303</v>
      </c>
      <c r="G48" s="215" t="s">
        <v>13459</v>
      </c>
      <c r="H48" s="216">
        <v>0</v>
      </c>
      <c r="I48" s="217" t="s">
        <v>1788</v>
      </c>
      <c r="J48" s="217" t="s">
        <v>13846</v>
      </c>
      <c r="K48" s="268"/>
      <c r="L48" s="268"/>
      <c r="M48" s="268"/>
      <c r="N48" s="268"/>
      <c r="O48" s="268"/>
      <c r="P48" s="218"/>
      <c r="Q48" s="269"/>
      <c r="R48" s="215" t="str">
        <f ca="1">IF(ISERROR($V48),"",OFFSET('Smelter Look-up'!$C$4,$V48-4,0)&amp;"")</f>
        <v>Chenzhou Yunxiang Mining and Metallurgy Co., Ltd.</v>
      </c>
      <c r="S48" s="222" t="str">
        <f t="shared" ca="1" si="6"/>
        <v>CN</v>
      </c>
      <c r="T48" s="222" t="str">
        <f ca="1">IF(B48="","",IF(ISERROR(MATCH($J48,SorP!$B$1:$B$6230,0)),"",INDIRECT("'SorP'!$A$"&amp;MATCH($J48,SorP!$B$1:$B$6230,0))))</f>
        <v>CN-HN</v>
      </c>
      <c r="U48" s="238"/>
      <c r="V48" s="270">
        <f>IF(C48="",NA(),MATCH($B48&amp;$C48,'Smelter Look-up'!$J:$J,0))</f>
        <v>392</v>
      </c>
      <c r="W48" s="271"/>
      <c r="X48" s="271">
        <f t="shared" si="7"/>
        <v>0</v>
      </c>
      <c r="Y48" s="271"/>
      <c r="Z48" s="271"/>
      <c r="AB48" s="273" t="str">
        <f t="shared" si="8"/>
        <v>TinChenzhou Yunxiang Mining and Metallurgy Co., Ltd.</v>
      </c>
    </row>
    <row r="49" spans="1:28" s="272" customFormat="1" ht="36.9">
      <c r="A49" s="214" t="s">
        <v>666</v>
      </c>
      <c r="B49" s="215" t="s">
        <v>1130</v>
      </c>
      <c r="C49" s="219" t="s">
        <v>53</v>
      </c>
      <c r="D49" s="278"/>
      <c r="E49" s="215" t="s">
        <v>1107</v>
      </c>
      <c r="F49" s="215" t="s">
        <v>666</v>
      </c>
      <c r="G49" s="215" t="s">
        <v>13459</v>
      </c>
      <c r="H49" s="216">
        <v>0</v>
      </c>
      <c r="I49" s="217" t="s">
        <v>1576</v>
      </c>
      <c r="J49" s="217" t="s">
        <v>6576</v>
      </c>
      <c r="K49" s="268"/>
      <c r="L49" s="268"/>
      <c r="M49" s="268"/>
      <c r="N49" s="268"/>
      <c r="O49" s="268"/>
      <c r="P49" s="218"/>
      <c r="Q49" s="269"/>
      <c r="R49" s="215" t="str">
        <f ca="1">IF(ISERROR($V49),"",OFFSET('Smelter Look-up'!$C$4,$V49-4,0)&amp;"")</f>
        <v>Chimet S.p.A.</v>
      </c>
      <c r="S49" s="222" t="str">
        <f t="shared" ca="1" si="6"/>
        <v>IT</v>
      </c>
      <c r="T49" s="222" t="str">
        <f ca="1">IF(B49="","",IF(ISERROR(MATCH($J49,SorP!$B$1:$B$6230,0)),"",INDIRECT("'SorP'!$A$"&amp;MATCH($J49,SorP!$B$1:$B$6230,0))))</f>
        <v>IT-52</v>
      </c>
      <c r="U49" s="238"/>
      <c r="V49" s="270">
        <f>IF(C49="",NA(),MATCH($B49&amp;$C49,'Smelter Look-up'!$J:$J,0))</f>
        <v>52</v>
      </c>
      <c r="W49" s="271"/>
      <c r="X49" s="271">
        <f t="shared" si="7"/>
        <v>0</v>
      </c>
      <c r="Y49" s="271"/>
      <c r="Z49" s="271"/>
      <c r="AB49" s="273" t="str">
        <f t="shared" si="8"/>
        <v>GoldChimet S.p.A.</v>
      </c>
    </row>
    <row r="50" spans="1:28" s="272" customFormat="1" ht="98.4">
      <c r="A50" s="214" t="s">
        <v>795</v>
      </c>
      <c r="B50" s="215" t="s">
        <v>1133</v>
      </c>
      <c r="C50" s="219" t="s">
        <v>1379</v>
      </c>
      <c r="D50" s="278"/>
      <c r="E50" s="215" t="s">
        <v>1100</v>
      </c>
      <c r="F50" s="215" t="s">
        <v>795</v>
      </c>
      <c r="G50" s="215" t="s">
        <v>13459</v>
      </c>
      <c r="H50" s="216">
        <v>0</v>
      </c>
      <c r="I50" s="217" t="s">
        <v>1787</v>
      </c>
      <c r="J50" s="217" t="s">
        <v>13842</v>
      </c>
      <c r="K50" s="268"/>
      <c r="L50" s="268"/>
      <c r="M50" s="268"/>
      <c r="N50" s="268"/>
      <c r="O50" s="268"/>
      <c r="P50" s="218"/>
      <c r="Q50" s="269"/>
      <c r="R50" s="215" t="str">
        <f ca="1">IF(ISERROR($V50),"",OFFSET('Smelter Look-up'!$C$4,$V50-4,0)&amp;"")</f>
        <v>Chongyi Zhangyuan Tungsten Co., Ltd.</v>
      </c>
      <c r="S50" s="222" t="str">
        <f t="shared" ca="1" si="6"/>
        <v>CN</v>
      </c>
      <c r="T50" s="222" t="str">
        <f ca="1">IF(B50="","",IF(ISERROR(MATCH($J50,SorP!$B$1:$B$6230,0)),"",INDIRECT("'SorP'!$A$"&amp;MATCH($J50,SorP!$B$1:$B$6230,0))))</f>
        <v>CN-JX</v>
      </c>
      <c r="U50" s="238"/>
      <c r="V50" s="270">
        <f>IF(C50="",NA(),MATCH($B50&amp;$C50,'Smelter Look-up'!$J:$J,0))</f>
        <v>550</v>
      </c>
      <c r="W50" s="271"/>
      <c r="X50" s="271">
        <f t="shared" si="7"/>
        <v>0</v>
      </c>
      <c r="Y50" s="271"/>
      <c r="Z50" s="271"/>
      <c r="AB50" s="273" t="str">
        <f t="shared" si="8"/>
        <v>TungstenChongyi Zhangyuan Tungsten Co., Ltd.</v>
      </c>
    </row>
    <row r="51" spans="1:28" s="272" customFormat="1" ht="24.6">
      <c r="A51" s="214" t="s">
        <v>766</v>
      </c>
      <c r="B51" s="215" t="s">
        <v>1131</v>
      </c>
      <c r="C51" s="219" t="s">
        <v>49</v>
      </c>
      <c r="D51" s="278"/>
      <c r="E51" s="215" t="s">
        <v>2463</v>
      </c>
      <c r="F51" s="215" t="s">
        <v>766</v>
      </c>
      <c r="G51" s="215" t="s">
        <v>13459</v>
      </c>
      <c r="H51" s="216">
        <v>0</v>
      </c>
      <c r="I51" s="217" t="s">
        <v>1773</v>
      </c>
      <c r="J51" s="217" t="s">
        <v>1749</v>
      </c>
      <c r="K51" s="268"/>
      <c r="L51" s="268"/>
      <c r="M51" s="268"/>
      <c r="N51" s="268"/>
      <c r="O51" s="268"/>
      <c r="P51" s="218"/>
      <c r="Q51" s="269"/>
      <c r="R51" s="215" t="str">
        <f ca="1">IF(ISERROR($V51),"",OFFSET('Smelter Look-up'!$C$4,$V51-4,0)&amp;"")</f>
        <v>Alpha</v>
      </c>
      <c r="S51" s="222" t="str">
        <f t="shared" ca="1" si="6"/>
        <v>US</v>
      </c>
      <c r="T51" s="222" t="str">
        <f ca="1">IF(B51="","",IF(ISERROR(MATCH($J51,SorP!$B$1:$B$6230,0)),"",INDIRECT("'SorP'!$A$"&amp;MATCH($J51,SorP!$B$1:$B$6230,0))))</f>
        <v>US-PA</v>
      </c>
      <c r="U51" s="238"/>
      <c r="V51" s="270">
        <f>IF(C51="",NA(),MATCH($B51&amp;$C51,'Smelter Look-up'!$J:$J,0))</f>
        <v>384</v>
      </c>
      <c r="W51" s="271"/>
      <c r="X51" s="271">
        <f t="shared" si="7"/>
        <v>0</v>
      </c>
      <c r="Y51" s="271"/>
      <c r="Z51" s="271"/>
      <c r="AB51" s="273" t="str">
        <f t="shared" si="8"/>
        <v>TinAlpha</v>
      </c>
    </row>
    <row r="52" spans="1:28" s="272" customFormat="1" ht="61.5">
      <c r="A52" s="214" t="s">
        <v>670</v>
      </c>
      <c r="B52" s="215" t="s">
        <v>1130</v>
      </c>
      <c r="C52" s="219" t="s">
        <v>2275</v>
      </c>
      <c r="D52" s="278"/>
      <c r="E52" s="215" t="s">
        <v>1111</v>
      </c>
      <c r="F52" s="215" t="s">
        <v>670</v>
      </c>
      <c r="G52" s="215" t="s">
        <v>13459</v>
      </c>
      <c r="H52" s="216">
        <v>0</v>
      </c>
      <c r="I52" s="217" t="s">
        <v>1580</v>
      </c>
      <c r="J52" s="217" t="s">
        <v>13085</v>
      </c>
      <c r="K52" s="268"/>
      <c r="L52" s="268"/>
      <c r="M52" s="268"/>
      <c r="N52" s="268"/>
      <c r="O52" s="268"/>
      <c r="P52" s="218"/>
      <c r="Q52" s="269"/>
      <c r="R52" s="215" t="str">
        <f ca="1">IF(ISERROR($V52),"",OFFSET('Smelter Look-up'!$C$4,$V52-4,0)&amp;"")</f>
        <v>DSC (Do Sung Corporation)</v>
      </c>
      <c r="S52" s="222" t="str">
        <f t="shared" ca="1" si="6"/>
        <v>KR</v>
      </c>
      <c r="T52" s="222" t="str">
        <f ca="1">IF(B52="","",IF(ISERROR(MATCH($J52,SorP!$B$1:$B$6230,0)),"",INDIRECT("'SorP'!$A$"&amp;MATCH($J52,SorP!$B$1:$B$6230,0))))</f>
        <v>KR-41</v>
      </c>
      <c r="U52" s="238"/>
      <c r="V52" s="270">
        <f>IF(C52="",NA(),MATCH($B52&amp;$C52,'Smelter Look-up'!$J:$J,0))</f>
        <v>69</v>
      </c>
      <c r="W52" s="271"/>
      <c r="X52" s="271">
        <f t="shared" si="7"/>
        <v>0</v>
      </c>
      <c r="Y52" s="271"/>
      <c r="Z52" s="271"/>
      <c r="AB52" s="273" t="str">
        <f t="shared" si="8"/>
        <v>GoldDSC (Do Sung Corporation)</v>
      </c>
    </row>
    <row r="53" spans="1:28" s="272" customFormat="1" ht="73.8">
      <c r="A53" s="214" t="s">
        <v>672</v>
      </c>
      <c r="B53" s="215" t="s">
        <v>1130</v>
      </c>
      <c r="C53" s="219" t="s">
        <v>13133</v>
      </c>
      <c r="D53" s="278"/>
      <c r="E53" s="215" t="s">
        <v>1101</v>
      </c>
      <c r="F53" s="215" t="s">
        <v>672</v>
      </c>
      <c r="G53" s="215" t="s">
        <v>13459</v>
      </c>
      <c r="H53" s="216">
        <v>0</v>
      </c>
      <c r="I53" s="217" t="s">
        <v>1549</v>
      </c>
      <c r="J53" s="217" t="s">
        <v>1550</v>
      </c>
      <c r="K53" s="268"/>
      <c r="L53" s="268"/>
      <c r="M53" s="268"/>
      <c r="N53" s="268"/>
      <c r="O53" s="268"/>
      <c r="P53" s="218"/>
      <c r="Q53" s="269"/>
      <c r="R53" s="215" t="str">
        <f ca="1">IF(ISERROR($V53),"",OFFSET('Smelter Look-up'!$C$4,$V53-4,0)&amp;"")</f>
        <v>DODUCO Contacts and Refining GmbH</v>
      </c>
      <c r="S53" s="222" t="str">
        <f t="shared" ca="1" si="6"/>
        <v>DE</v>
      </c>
      <c r="T53" s="222" t="str">
        <f ca="1">IF(B53="","",IF(ISERROR(MATCH($J53,SorP!$B$1:$B$6230,0)),"",INDIRECT("'SorP'!$A$"&amp;MATCH($J53,SorP!$B$1:$B$6230,0))))</f>
        <v>DE-BW</v>
      </c>
      <c r="U53" s="238"/>
      <c r="V53" s="270">
        <f>IF(C53="",NA(),MATCH($B53&amp;$C53,'Smelter Look-up'!$J:$J,0))</f>
        <v>62</v>
      </c>
      <c r="W53" s="271"/>
      <c r="X53" s="271">
        <f t="shared" si="7"/>
        <v>0</v>
      </c>
      <c r="Y53" s="271"/>
      <c r="Z53" s="271"/>
      <c r="AB53" s="273" t="str">
        <f t="shared" si="8"/>
        <v>GoldDODUCO Contacts and Refining GmbH</v>
      </c>
    </row>
    <row r="54" spans="1:28" s="272" customFormat="1" ht="24.6">
      <c r="A54" s="214" t="s">
        <v>673</v>
      </c>
      <c r="B54" s="215" t="s">
        <v>1130</v>
      </c>
      <c r="C54" s="219" t="s">
        <v>906</v>
      </c>
      <c r="D54" s="278"/>
      <c r="E54" s="215" t="s">
        <v>1108</v>
      </c>
      <c r="F54" s="215" t="s">
        <v>673</v>
      </c>
      <c r="G54" s="215" t="s">
        <v>13459</v>
      </c>
      <c r="H54" s="216">
        <v>0</v>
      </c>
      <c r="I54" s="217" t="s">
        <v>1581</v>
      </c>
      <c r="J54" s="217" t="s">
        <v>1582</v>
      </c>
      <c r="K54" s="268"/>
      <c r="L54" s="268"/>
      <c r="M54" s="268"/>
      <c r="N54" s="268"/>
      <c r="O54" s="268"/>
      <c r="P54" s="218"/>
      <c r="Q54" s="269"/>
      <c r="R54" s="215" t="str">
        <f ca="1">IF(ISERROR($V54),"",OFFSET('Smelter Look-up'!$C$4,$V54-4,0)&amp;"")</f>
        <v>Dowa</v>
      </c>
      <c r="S54" s="222" t="str">
        <f t="shared" ca="1" si="6"/>
        <v>JP</v>
      </c>
      <c r="T54" s="222" t="str">
        <f ca="1">IF(B54="","",IF(ISERROR(MATCH($J54,SorP!$B$1:$B$6230,0)),"",INDIRECT("'SorP'!$A$"&amp;MATCH($J54,SorP!$B$1:$B$6230,0))))</f>
        <v>JP-05</v>
      </c>
      <c r="U54" s="238"/>
      <c r="V54" s="270">
        <f>IF(C54="",NA(),MATCH($B54&amp;$C54,'Smelter Look-up'!$J:$J,0))</f>
        <v>64</v>
      </c>
      <c r="W54" s="271"/>
      <c r="X54" s="271">
        <f t="shared" si="7"/>
        <v>0</v>
      </c>
      <c r="Y54" s="271"/>
      <c r="Z54" s="271"/>
      <c r="AB54" s="273" t="str">
        <f t="shared" si="8"/>
        <v>GoldDowa</v>
      </c>
    </row>
    <row r="55" spans="1:28" s="272" customFormat="1" ht="19.8">
      <c r="A55" s="214" t="s">
        <v>1410</v>
      </c>
      <c r="B55" s="215" t="s">
        <v>1131</v>
      </c>
      <c r="C55" s="219" t="s">
        <v>906</v>
      </c>
      <c r="D55" s="278"/>
      <c r="E55" s="215" t="s">
        <v>1108</v>
      </c>
      <c r="F55" s="215" t="s">
        <v>1410</v>
      </c>
      <c r="G55" s="215" t="s">
        <v>13459</v>
      </c>
      <c r="H55" s="216">
        <v>0</v>
      </c>
      <c r="I55" s="217" t="s">
        <v>1581</v>
      </c>
      <c r="J55" s="217" t="s">
        <v>1582</v>
      </c>
      <c r="K55" s="268"/>
      <c r="L55" s="268"/>
      <c r="M55" s="268"/>
      <c r="N55" s="268"/>
      <c r="O55" s="268"/>
      <c r="P55" s="218"/>
      <c r="Q55" s="269"/>
      <c r="R55" s="215" t="str">
        <f ca="1">IF(ISERROR($V55),"",OFFSET('Smelter Look-up'!$C$4,$V55-4,0)&amp;"")</f>
        <v>Dowa</v>
      </c>
      <c r="S55" s="222" t="str">
        <f t="shared" ca="1" si="6"/>
        <v>JP</v>
      </c>
      <c r="T55" s="222" t="str">
        <f ca="1">IF(B55="","",IF(ISERROR(MATCH($J55,SorP!$B$1:$B$6230,0)),"",INDIRECT("'SorP'!$A$"&amp;MATCH($J55,SorP!$B$1:$B$6230,0))))</f>
        <v>JP-05</v>
      </c>
      <c r="U55" s="238"/>
      <c r="V55" s="270">
        <f>IF(C55="",NA(),MATCH($B55&amp;$C55,'Smelter Look-up'!$J:$J,0))</f>
        <v>409</v>
      </c>
      <c r="W55" s="271"/>
      <c r="X55" s="271">
        <f t="shared" si="7"/>
        <v>0</v>
      </c>
      <c r="Y55" s="271"/>
      <c r="Z55" s="271"/>
      <c r="AB55" s="273" t="str">
        <f t="shared" si="8"/>
        <v>TinDowa</v>
      </c>
    </row>
    <row r="56" spans="1:28" s="272" customFormat="1" ht="61.5">
      <c r="A56" s="214" t="s">
        <v>749</v>
      </c>
      <c r="B56" s="215" t="s">
        <v>1132</v>
      </c>
      <c r="C56" s="219" t="s">
        <v>45</v>
      </c>
      <c r="D56" s="278"/>
      <c r="E56" s="215" t="s">
        <v>1100</v>
      </c>
      <c r="F56" s="215" t="s">
        <v>749</v>
      </c>
      <c r="G56" s="215" t="s">
        <v>13459</v>
      </c>
      <c r="H56" s="216">
        <v>0</v>
      </c>
      <c r="I56" s="217" t="s">
        <v>1728</v>
      </c>
      <c r="J56" s="217" t="s">
        <v>13847</v>
      </c>
      <c r="K56" s="268"/>
      <c r="L56" s="268"/>
      <c r="M56" s="268"/>
      <c r="N56" s="268"/>
      <c r="O56" s="268"/>
      <c r="P56" s="218"/>
      <c r="Q56" s="269"/>
      <c r="R56" s="215" t="str">
        <f ca="1">IF(ISERROR($V56),"",OFFSET('Smelter Look-up'!$C$4,$V56-4,0)&amp;"")</f>
        <v>F&amp;X Electro-Materials Ltd.</v>
      </c>
      <c r="S56" s="222" t="str">
        <f t="shared" ca="1" si="6"/>
        <v>CN</v>
      </c>
      <c r="T56" s="222" t="str">
        <f ca="1">IF(B56="","",IF(ISERROR(MATCH($J56,SorP!$B$1:$B$6230,0)),"",INDIRECT("'SorP'!$A$"&amp;MATCH($J56,SorP!$B$1:$B$6230,0))))</f>
        <v>CN-GD</v>
      </c>
      <c r="U56" s="238"/>
      <c r="V56" s="270">
        <f>IF(C56="",NA(),MATCH($B56&amp;$C56,'Smelter Look-up'!$J:$J,0))</f>
        <v>321</v>
      </c>
      <c r="W56" s="271"/>
      <c r="X56" s="271">
        <f t="shared" si="7"/>
        <v>0</v>
      </c>
      <c r="Y56" s="271"/>
      <c r="Z56" s="271"/>
      <c r="AB56" s="273" t="str">
        <f t="shared" si="8"/>
        <v>TantalumF&amp;X Electro-Materials Ltd.</v>
      </c>
    </row>
    <row r="57" spans="1:28" s="272" customFormat="1" ht="24.6">
      <c r="A57" s="214" t="s">
        <v>769</v>
      </c>
      <c r="B57" s="215" t="s">
        <v>1131</v>
      </c>
      <c r="C57" s="219" t="s">
        <v>815</v>
      </c>
      <c r="D57" s="278"/>
      <c r="E57" s="215" t="s">
        <v>882</v>
      </c>
      <c r="F57" s="215" t="s">
        <v>769</v>
      </c>
      <c r="G57" s="215" t="s">
        <v>13459</v>
      </c>
      <c r="H57" s="216">
        <v>0</v>
      </c>
      <c r="I57" s="217" t="s">
        <v>1785</v>
      </c>
      <c r="J57" s="217" t="s">
        <v>9711</v>
      </c>
      <c r="K57" s="268"/>
      <c r="L57" s="268"/>
      <c r="M57" s="268"/>
      <c r="N57" s="268"/>
      <c r="O57" s="268"/>
      <c r="P57" s="218"/>
      <c r="Q57" s="269"/>
      <c r="R57" s="215" t="str">
        <f ca="1">IF(ISERROR($V57),"",OFFSET('Smelter Look-up'!$C$4,$V57-4,0)&amp;"")</f>
        <v>Fenix Metals</v>
      </c>
      <c r="S57" s="222" t="str">
        <f t="shared" ca="1" si="6"/>
        <v>PL</v>
      </c>
      <c r="T57" s="222" t="str">
        <f ca="1">IF(B57="","",IF(ISERROR(MATCH($J57,SorP!$B$1:$B$6230,0)),"",INDIRECT("'SorP'!$A$"&amp;MATCH($J57,SorP!$B$1:$B$6230,0))))</f>
        <v>PL-18</v>
      </c>
      <c r="U57" s="238"/>
      <c r="V57" s="270">
        <f>IF(C57="",NA(),MATCH($B57&amp;$C57,'Smelter Look-up'!$J:$J,0))</f>
        <v>421</v>
      </c>
      <c r="W57" s="271"/>
      <c r="X57" s="271">
        <f t="shared" si="7"/>
        <v>0</v>
      </c>
      <c r="Y57" s="271"/>
      <c r="Z57" s="271"/>
      <c r="AB57" s="273" t="str">
        <f t="shared" si="8"/>
        <v>TinFenix Metals</v>
      </c>
    </row>
    <row r="58" spans="1:28" s="272" customFormat="1" ht="61.5">
      <c r="A58" s="214" t="s">
        <v>674</v>
      </c>
      <c r="B58" s="215" t="s">
        <v>1130</v>
      </c>
      <c r="C58" s="219" t="s">
        <v>2216</v>
      </c>
      <c r="D58" s="278"/>
      <c r="E58" s="215" t="s">
        <v>883</v>
      </c>
      <c r="F58" s="215" t="s">
        <v>674</v>
      </c>
      <c r="G58" s="215" t="s">
        <v>13459</v>
      </c>
      <c r="H58" s="216">
        <v>0</v>
      </c>
      <c r="I58" s="217" t="s">
        <v>1588</v>
      </c>
      <c r="J58" s="217" t="s">
        <v>10215</v>
      </c>
      <c r="K58" s="268"/>
      <c r="L58" s="268"/>
      <c r="M58" s="268"/>
      <c r="N58" s="268"/>
      <c r="O58" s="268"/>
      <c r="P58" s="218"/>
      <c r="Q58" s="269"/>
      <c r="R58" s="215" t="str">
        <f ca="1">IF(ISERROR($V58),"",OFFSET('Smelter Look-up'!$C$4,$V58-4,0)&amp;"")</f>
        <v>JSC Novosibirsk Refinery</v>
      </c>
      <c r="S58" s="222" t="str">
        <f t="shared" ca="1" si="6"/>
        <v>RU</v>
      </c>
      <c r="T58" s="222" t="str">
        <f ca="1">IF(B58="","",IF(ISERROR(MATCH($J58,SorP!$B$1:$B$6230,0)),"",INDIRECT("'SorP'!$A$"&amp;MATCH($J58,SorP!$B$1:$B$6230,0))))</f>
        <v>RU-NVS</v>
      </c>
      <c r="U58" s="238"/>
      <c r="V58" s="270">
        <f>IF(C58="",NA(),MATCH($B58&amp;$C58,'Smelter Look-up'!$J:$J,0))</f>
        <v>196</v>
      </c>
      <c r="W58" s="271"/>
      <c r="X58" s="271">
        <f t="shared" si="7"/>
        <v>0</v>
      </c>
      <c r="Y58" s="271"/>
      <c r="Z58" s="271"/>
      <c r="AB58" s="273" t="str">
        <f t="shared" si="8"/>
        <v>GoldOJSC Novosibirsk Refinery</v>
      </c>
    </row>
    <row r="59" spans="1:28" s="272" customFormat="1" ht="73.8">
      <c r="A59" s="214" t="s">
        <v>15614</v>
      </c>
      <c r="B59" s="215" t="s">
        <v>1133</v>
      </c>
      <c r="C59" s="219" t="s">
        <v>15615</v>
      </c>
      <c r="D59" s="278"/>
      <c r="E59" s="215" t="s">
        <v>1100</v>
      </c>
      <c r="F59" s="215" t="s">
        <v>15614</v>
      </c>
      <c r="G59" s="215" t="s">
        <v>13459</v>
      </c>
      <c r="H59" s="216">
        <v>0</v>
      </c>
      <c r="I59" s="217" t="s">
        <v>15616</v>
      </c>
      <c r="J59" s="217" t="s">
        <v>13841</v>
      </c>
      <c r="K59" s="268"/>
      <c r="L59" s="268"/>
      <c r="M59" s="268"/>
      <c r="N59" s="268"/>
      <c r="O59" s="268"/>
      <c r="P59" s="218"/>
      <c r="Q59" s="269"/>
      <c r="R59" s="215" t="str">
        <f ca="1">IF(ISERROR($V59),"",OFFSET('Smelter Look-up'!$C$4,$V59-4,0)&amp;"")</f>
        <v/>
      </c>
      <c r="S59" s="222" t="str">
        <f t="shared" ca="1" si="6"/>
        <v>CN</v>
      </c>
      <c r="T59" s="222" t="str">
        <f ca="1">IF(B59="","",IF(ISERROR(MATCH($J59,SorP!$B$1:$B$6230,0)),"",INDIRECT("'SorP'!$A$"&amp;MATCH($J59,SorP!$B$1:$B$6230,0))))</f>
        <v>CN-FJ</v>
      </c>
      <c r="U59" s="238"/>
      <c r="V59" s="270" t="e">
        <f>IF(C59="",NA(),MATCH($B59&amp;$C59,'Smelter Look-up'!$J:$J,0))</f>
        <v>#N/A</v>
      </c>
      <c r="W59" s="271"/>
      <c r="X59" s="271">
        <f t="shared" si="7"/>
        <v>0</v>
      </c>
      <c r="Y59" s="271"/>
      <c r="Z59" s="271"/>
      <c r="AB59" s="273" t="str">
        <f t="shared" si="8"/>
        <v>TungstenFujian Jinxin Tungsten Co., Ltd.</v>
      </c>
    </row>
    <row r="60" spans="1:28" s="272" customFormat="1" ht="86.1">
      <c r="A60" s="214" t="s">
        <v>770</v>
      </c>
      <c r="B60" s="215" t="s">
        <v>1131</v>
      </c>
      <c r="C60" s="219" t="s">
        <v>2160</v>
      </c>
      <c r="D60" s="278"/>
      <c r="E60" s="215" t="s">
        <v>1100</v>
      </c>
      <c r="F60" s="215" t="s">
        <v>770</v>
      </c>
      <c r="G60" s="215" t="s">
        <v>13459</v>
      </c>
      <c r="H60" s="216">
        <v>0</v>
      </c>
      <c r="I60" s="217" t="s">
        <v>2477</v>
      </c>
      <c r="J60" s="217" t="s">
        <v>13851</v>
      </c>
      <c r="K60" s="268"/>
      <c r="L60" s="268"/>
      <c r="M60" s="268"/>
      <c r="N60" s="268"/>
      <c r="O60" s="268"/>
      <c r="P60" s="218"/>
      <c r="Q60" s="269"/>
      <c r="R60" s="215" t="str">
        <f ca="1">IF(ISERROR($V60),"",OFFSET('Smelter Look-up'!$C$4,$V60-4,0)&amp;"")</f>
        <v>Gejiu Non-Ferrous Metal Processing Co., Ltd.</v>
      </c>
      <c r="S60" s="222" t="str">
        <f t="shared" ca="1" si="6"/>
        <v>CN</v>
      </c>
      <c r="T60" s="222" t="str">
        <f ca="1">IF(B60="","",IF(ISERROR(MATCH($J60,SorP!$B$1:$B$6230,0)),"",INDIRECT("'SorP'!$A$"&amp;MATCH($J60,SorP!$B$1:$B$6230,0))))</f>
        <v>CN-YN</v>
      </c>
      <c r="U60" s="238"/>
      <c r="V60" s="270">
        <f>IF(C60="",NA(),MATCH($B60&amp;$C60,'Smelter Look-up'!$J:$J,0))</f>
        <v>428</v>
      </c>
      <c r="W60" s="271"/>
      <c r="X60" s="271">
        <f t="shared" si="7"/>
        <v>0</v>
      </c>
      <c r="Y60" s="271"/>
      <c r="Z60" s="271"/>
      <c r="AB60" s="273" t="str">
        <f t="shared" si="8"/>
        <v>TinGejiu Non-Ferrous Metal Processing Co., Ltd.</v>
      </c>
    </row>
    <row r="61" spans="1:28" s="272" customFormat="1" ht="49.2">
      <c r="A61" s="214" t="s">
        <v>678</v>
      </c>
      <c r="B61" s="215" t="s">
        <v>1130</v>
      </c>
      <c r="C61" s="219" t="s">
        <v>1039</v>
      </c>
      <c r="D61" s="278"/>
      <c r="E61" s="215" t="s">
        <v>1101</v>
      </c>
      <c r="F61" s="215" t="s">
        <v>678</v>
      </c>
      <c r="G61" s="215" t="s">
        <v>13459</v>
      </c>
      <c r="H61" s="216">
        <v>0</v>
      </c>
      <c r="I61" s="217" t="s">
        <v>1549</v>
      </c>
      <c r="J61" s="217" t="s">
        <v>1550</v>
      </c>
      <c r="K61" s="268"/>
      <c r="L61" s="268"/>
      <c r="M61" s="268"/>
      <c r="N61" s="268"/>
      <c r="O61" s="268"/>
      <c r="P61" s="218"/>
      <c r="Q61" s="269"/>
      <c r="R61" s="215" t="str">
        <f ca="1">IF(ISERROR($V61),"",OFFSET('Smelter Look-up'!$C$4,$V61-4,0)&amp;"")</f>
        <v>Heimerle + Meule GmbH</v>
      </c>
      <c r="S61" s="222" t="str">
        <f t="shared" ca="1" si="6"/>
        <v>DE</v>
      </c>
      <c r="T61" s="222" t="str">
        <f ca="1">IF(B61="","",IF(ISERROR(MATCH($J61,SorP!$B$1:$B$6230,0)),"",INDIRECT("'SorP'!$A$"&amp;MATCH($J61,SorP!$B$1:$B$6230,0))))</f>
        <v>DE-BW</v>
      </c>
      <c r="U61" s="238"/>
      <c r="V61" s="270">
        <f>IF(C61="",NA(),MATCH($B61&amp;$C61,'Smelter Look-up'!$J:$J,0))</f>
        <v>97</v>
      </c>
      <c r="W61" s="271"/>
      <c r="X61" s="271">
        <f t="shared" si="7"/>
        <v>0</v>
      </c>
      <c r="Y61" s="271"/>
      <c r="Z61" s="271"/>
      <c r="AB61" s="273" t="str">
        <f t="shared" si="8"/>
        <v>GoldHeimerle + Meule GmbH</v>
      </c>
    </row>
    <row r="62" spans="1:28" s="272" customFormat="1" ht="73.8">
      <c r="A62" s="214" t="s">
        <v>679</v>
      </c>
      <c r="B62" s="215" t="s">
        <v>1130</v>
      </c>
      <c r="C62" s="219" t="s">
        <v>2532</v>
      </c>
      <c r="D62" s="278"/>
      <c r="E62" s="215" t="s">
        <v>1100</v>
      </c>
      <c r="F62" s="215" t="s">
        <v>679</v>
      </c>
      <c r="G62" s="215" t="s">
        <v>13459</v>
      </c>
      <c r="H62" s="216">
        <v>0</v>
      </c>
      <c r="I62" s="217" t="s">
        <v>1595</v>
      </c>
      <c r="J62" s="217" t="s">
        <v>14067</v>
      </c>
      <c r="K62" s="268"/>
      <c r="L62" s="268"/>
      <c r="M62" s="268"/>
      <c r="N62" s="268"/>
      <c r="O62" s="268"/>
      <c r="P62" s="218"/>
      <c r="Q62" s="269"/>
      <c r="R62" s="215" t="str">
        <f ca="1">IF(ISERROR($V62),"",OFFSET('Smelter Look-up'!$C$4,$V62-4,0)&amp;"")</f>
        <v>Heraeus Metals Hong Kong Ltd.</v>
      </c>
      <c r="S62" s="222" t="str">
        <f t="shared" ca="1" si="6"/>
        <v>CN</v>
      </c>
      <c r="T62" s="222" t="str">
        <f ca="1">IF(B62="","",IF(ISERROR(MATCH($J62,SorP!$B$1:$B$6230,0)),"",INDIRECT("'SorP'!$A$"&amp;MATCH($J62,SorP!$B$1:$B$6230,0))))</f>
        <v>CN-HK</v>
      </c>
      <c r="U62" s="238"/>
      <c r="V62" s="270">
        <f>IF(C62="",NA(),MATCH($B62&amp;$C62,'Smelter Look-up'!$J:$J,0))</f>
        <v>103</v>
      </c>
      <c r="W62" s="271"/>
      <c r="X62" s="271">
        <f t="shared" si="7"/>
        <v>0</v>
      </c>
      <c r="Y62" s="271"/>
      <c r="Z62" s="271"/>
      <c r="AB62" s="273" t="str">
        <f t="shared" si="8"/>
        <v>GoldHeraeus Metals Hong Kong Ltd.</v>
      </c>
    </row>
    <row r="63" spans="1:28" s="272" customFormat="1" ht="73.8">
      <c r="A63" s="214" t="s">
        <v>680</v>
      </c>
      <c r="B63" s="215" t="s">
        <v>1130</v>
      </c>
      <c r="C63" s="219" t="s">
        <v>1227</v>
      </c>
      <c r="D63" s="278"/>
      <c r="E63" s="215" t="s">
        <v>1101</v>
      </c>
      <c r="F63" s="215" t="s">
        <v>680</v>
      </c>
      <c r="G63" s="215" t="s">
        <v>13459</v>
      </c>
      <c r="H63" s="216">
        <v>0</v>
      </c>
      <c r="I63" s="217" t="s">
        <v>1596</v>
      </c>
      <c r="J63" s="217" t="s">
        <v>4282</v>
      </c>
      <c r="K63" s="268"/>
      <c r="L63" s="268"/>
      <c r="M63" s="268"/>
      <c r="N63" s="268"/>
      <c r="O63" s="268"/>
      <c r="P63" s="218"/>
      <c r="Q63" s="269"/>
      <c r="R63" s="215" t="str">
        <f ca="1">IF(ISERROR($V63),"",OFFSET('Smelter Look-up'!$C$4,$V63-4,0)&amp;"")</f>
        <v>Heraeus Germany GmbH Co. KG</v>
      </c>
      <c r="S63" s="222" t="str">
        <f t="shared" ca="1" si="6"/>
        <v>DE</v>
      </c>
      <c r="T63" s="222" t="str">
        <f ca="1">IF(B63="","",IF(ISERROR(MATCH($J63,SorP!$B$1:$B$6230,0)),"",INDIRECT("'SorP'!$A$"&amp;MATCH($J63,SorP!$B$1:$B$6230,0))))</f>
        <v>DE-HE</v>
      </c>
      <c r="U63" s="238"/>
      <c r="V63" s="270">
        <f>IF(C63="",NA(),MATCH($B63&amp;$C63,'Smelter Look-up'!$J:$J,0))</f>
        <v>104</v>
      </c>
      <c r="W63" s="271"/>
      <c r="X63" s="271">
        <f t="shared" si="7"/>
        <v>0</v>
      </c>
      <c r="Y63" s="271"/>
      <c r="Z63" s="271"/>
      <c r="AB63" s="273" t="str">
        <f t="shared" si="8"/>
        <v>GoldHeraeus Precious Metals GmbH &amp; Co. KG</v>
      </c>
    </row>
    <row r="64" spans="1:28" s="272" customFormat="1" ht="61.5">
      <c r="A64" s="214" t="s">
        <v>15617</v>
      </c>
      <c r="B64" s="215" t="s">
        <v>1131</v>
      </c>
      <c r="C64" s="219" t="s">
        <v>15618</v>
      </c>
      <c r="D64" s="278"/>
      <c r="E64" s="215" t="s">
        <v>1100</v>
      </c>
      <c r="F64" s="215" t="s">
        <v>15617</v>
      </c>
      <c r="G64" s="215" t="s">
        <v>13459</v>
      </c>
      <c r="H64" s="216">
        <v>0</v>
      </c>
      <c r="I64" s="217" t="s">
        <v>1787</v>
      </c>
      <c r="J64" s="217" t="s">
        <v>13842</v>
      </c>
      <c r="K64" s="268"/>
      <c r="L64" s="268"/>
      <c r="M64" s="268"/>
      <c r="N64" s="268"/>
      <c r="O64" s="268"/>
      <c r="P64" s="218"/>
      <c r="Q64" s="269"/>
      <c r="R64" s="215" t="str">
        <f ca="1">IF(ISERROR($V64),"",OFFSET('Smelter Look-up'!$C$4,$V64-4,0)&amp;"")</f>
        <v/>
      </c>
      <c r="S64" s="222" t="str">
        <f t="shared" ca="1" si="6"/>
        <v>CN</v>
      </c>
      <c r="T64" s="222" t="str">
        <f ca="1">IF(B64="","",IF(ISERROR(MATCH($J64,SorP!$B$1:$B$6230,0)),"",INDIRECT("'SorP'!$A$"&amp;MATCH($J64,SorP!$B$1:$B$6230,0))))</f>
        <v>CN-JX</v>
      </c>
      <c r="U64" s="238"/>
      <c r="V64" s="270" t="e">
        <f>IF(C64="",NA(),MATCH($B64&amp;$C64,'Smelter Look-up'!$J:$J,0))</f>
        <v>#N/A</v>
      </c>
      <c r="W64" s="271"/>
      <c r="X64" s="271">
        <f t="shared" si="7"/>
        <v>0</v>
      </c>
      <c r="Y64" s="271"/>
      <c r="Z64" s="271"/>
      <c r="AB64" s="273" t="str">
        <f t="shared" si="8"/>
        <v>TinHuichang Jinshunda Tin Co., Ltd.</v>
      </c>
    </row>
    <row r="65" spans="1:28" s="272" customFormat="1" ht="61.5">
      <c r="A65" s="214" t="s">
        <v>797</v>
      </c>
      <c r="B65" s="215" t="s">
        <v>1133</v>
      </c>
      <c r="C65" s="219" t="s">
        <v>2232</v>
      </c>
      <c r="D65" s="278"/>
      <c r="E65" s="215" t="s">
        <v>1100</v>
      </c>
      <c r="F65" s="215" t="s">
        <v>797</v>
      </c>
      <c r="G65" s="215" t="s">
        <v>13459</v>
      </c>
      <c r="H65" s="216">
        <v>0</v>
      </c>
      <c r="I65" s="217" t="s">
        <v>2150</v>
      </c>
      <c r="J65" s="217" t="s">
        <v>13846</v>
      </c>
      <c r="K65" s="268"/>
      <c r="L65" s="268"/>
      <c r="M65" s="268"/>
      <c r="N65" s="268"/>
      <c r="O65" s="268"/>
      <c r="P65" s="218"/>
      <c r="Q65" s="269"/>
      <c r="R65" s="215" t="str">
        <f ca="1">IF(ISERROR($V65),"",OFFSET('Smelter Look-up'!$C$4,$V65-4,0)&amp;"")</f>
        <v>Hunan Chenzhou Mining Co., Ltd.</v>
      </c>
      <c r="S65" s="222" t="str">
        <f t="shared" ca="1" si="6"/>
        <v>CN</v>
      </c>
      <c r="T65" s="222" t="str">
        <f ca="1">IF(B65="","",IF(ISERROR(MATCH($J65,SorP!$B$1:$B$6230,0)),"",INDIRECT("'SorP'!$A$"&amp;MATCH($J65,SorP!$B$1:$B$6230,0))))</f>
        <v>CN-HN</v>
      </c>
      <c r="U65" s="238"/>
      <c r="V65" s="270">
        <f>IF(C65="",NA(),MATCH($B65&amp;$C65,'Smelter Look-up'!$J:$J,0))</f>
        <v>567</v>
      </c>
      <c r="W65" s="271"/>
      <c r="X65" s="271">
        <f t="shared" si="7"/>
        <v>0</v>
      </c>
      <c r="Y65" s="271"/>
      <c r="Z65" s="271"/>
      <c r="AB65" s="273" t="str">
        <f t="shared" si="8"/>
        <v>TungstenHunan Chenzhou Mining Co., Ltd.</v>
      </c>
    </row>
    <row r="66" spans="1:28" s="272" customFormat="1" ht="98.4">
      <c r="A66" s="214" t="s">
        <v>798</v>
      </c>
      <c r="B66" s="215" t="s">
        <v>1133</v>
      </c>
      <c r="C66" s="219" t="s">
        <v>1381</v>
      </c>
      <c r="D66" s="278"/>
      <c r="E66" s="215" t="s">
        <v>1100</v>
      </c>
      <c r="F66" s="215" t="s">
        <v>798</v>
      </c>
      <c r="G66" s="215" t="s">
        <v>13459</v>
      </c>
      <c r="H66" s="216">
        <v>0</v>
      </c>
      <c r="I66" s="217" t="s">
        <v>1752</v>
      </c>
      <c r="J66" s="217" t="s">
        <v>13846</v>
      </c>
      <c r="K66" s="268"/>
      <c r="L66" s="268"/>
      <c r="M66" s="268"/>
      <c r="N66" s="268"/>
      <c r="O66" s="268"/>
      <c r="P66" s="218"/>
      <c r="Q66" s="269"/>
      <c r="R66" s="215" t="str">
        <f ca="1">IF(ISERROR($V66),"",OFFSET('Smelter Look-up'!$C$4,$V66-4,0)&amp;"")</f>
        <v>Hunan Chunchang Nonferrous Metals Co., Ltd.</v>
      </c>
      <c r="S66" s="222" t="str">
        <f t="shared" ca="1" si="6"/>
        <v>CN</v>
      </c>
      <c r="T66" s="222" t="str">
        <f ca="1">IF(B66="","",IF(ISERROR(MATCH($J66,SorP!$B$1:$B$6230,0)),"",INDIRECT("'SorP'!$A$"&amp;MATCH($J66,SorP!$B$1:$B$6230,0))))</f>
        <v>CN-HN</v>
      </c>
      <c r="U66" s="238"/>
      <c r="V66" s="270">
        <f>IF(C66="",NA(),MATCH($B66&amp;$C66,'Smelter Look-up'!$J:$J,0))</f>
        <v>569</v>
      </c>
      <c r="W66" s="271"/>
      <c r="X66" s="271">
        <f t="shared" si="7"/>
        <v>0</v>
      </c>
      <c r="Y66" s="271"/>
      <c r="Z66" s="271"/>
      <c r="AB66" s="273" t="str">
        <f t="shared" si="8"/>
        <v>TungstenHunan Chunchang Nonferrous Metals Co., Ltd.</v>
      </c>
    </row>
    <row r="67" spans="1:28" s="272" customFormat="1" ht="110.7">
      <c r="A67" s="214" t="s">
        <v>683</v>
      </c>
      <c r="B67" s="215" t="s">
        <v>1130</v>
      </c>
      <c r="C67" s="219" t="s">
        <v>2324</v>
      </c>
      <c r="D67" s="278"/>
      <c r="E67" s="215" t="s">
        <v>1100</v>
      </c>
      <c r="F67" s="215" t="s">
        <v>683</v>
      </c>
      <c r="G67" s="215" t="s">
        <v>13459</v>
      </c>
      <c r="H67" s="216">
        <v>0</v>
      </c>
      <c r="I67" s="217" t="s">
        <v>1600</v>
      </c>
      <c r="J67" s="217" t="s">
        <v>13825</v>
      </c>
      <c r="K67" s="268"/>
      <c r="L67" s="268"/>
      <c r="M67" s="268"/>
      <c r="N67" s="268"/>
      <c r="O67" s="268"/>
      <c r="P67" s="218"/>
      <c r="Q67" s="269"/>
      <c r="R67" s="215" t="str">
        <f ca="1">IF(ISERROR($V67),"",OFFSET('Smelter Look-up'!$C$4,$V67-4,0)&amp;"")</f>
        <v>Inner Mongolia Qiankun Gold and Silver Refinery Share Co., Ltd.</v>
      </c>
      <c r="S67" s="222" t="str">
        <f t="shared" ca="1" si="6"/>
        <v>CN</v>
      </c>
      <c r="T67" s="222" t="str">
        <f ca="1">IF(B67="","",IF(ISERROR(MATCH($J67,SorP!$B$1:$B$6230,0)),"",INDIRECT("'SorP'!$A$"&amp;MATCH($J67,SorP!$B$1:$B$6230,0))))</f>
        <v>CN-NM</v>
      </c>
      <c r="U67" s="238"/>
      <c r="V67" s="270">
        <f>IF(C67="",NA(),MATCH($B67&amp;$C67,'Smelter Look-up'!$J:$J,0))</f>
        <v>112</v>
      </c>
      <c r="W67" s="271"/>
      <c r="X67" s="271">
        <f t="shared" si="7"/>
        <v>0</v>
      </c>
      <c r="Y67" s="271"/>
      <c r="Z67" s="271"/>
      <c r="AB67" s="273" t="str">
        <f t="shared" si="8"/>
        <v>GoldInner Mongolia Qiankun Gold and Silver Refinery Share Co., Ltd.</v>
      </c>
    </row>
    <row r="68" spans="1:28" s="272" customFormat="1" ht="61.5">
      <c r="A68" s="214" t="s">
        <v>684</v>
      </c>
      <c r="B68" s="215" t="s">
        <v>1130</v>
      </c>
      <c r="C68" s="219" t="s">
        <v>1228</v>
      </c>
      <c r="D68" s="278"/>
      <c r="E68" s="215" t="s">
        <v>1108</v>
      </c>
      <c r="F68" s="215" t="s">
        <v>684</v>
      </c>
      <c r="G68" s="215" t="s">
        <v>13459</v>
      </c>
      <c r="H68" s="216">
        <v>0</v>
      </c>
      <c r="I68" s="217" t="s">
        <v>1601</v>
      </c>
      <c r="J68" s="217" t="s">
        <v>1587</v>
      </c>
      <c r="K68" s="268"/>
      <c r="L68" s="268"/>
      <c r="M68" s="268"/>
      <c r="N68" s="268"/>
      <c r="O68" s="268"/>
      <c r="P68" s="218"/>
      <c r="Q68" s="269"/>
      <c r="R68" s="215" t="str">
        <f ca="1">IF(ISERROR($V68),"",OFFSET('Smelter Look-up'!$C$4,$V68-4,0)&amp;"")</f>
        <v>Ishifuku Metal Industry Co., Ltd.</v>
      </c>
      <c r="S68" s="222" t="str">
        <f t="shared" ca="1" si="6"/>
        <v>JP</v>
      </c>
      <c r="T68" s="222" t="str">
        <f ca="1">IF(B68="","",IF(ISERROR(MATCH($J68,SorP!$B$1:$B$6230,0)),"",INDIRECT("'SorP'!$A$"&amp;MATCH($J68,SorP!$B$1:$B$6230,0))))</f>
        <v>JP-11</v>
      </c>
      <c r="U68" s="238"/>
      <c r="V68" s="270">
        <f>IF(C68="",NA(),MATCH($B68&amp;$C68,'Smelter Look-up'!$J:$J,0))</f>
        <v>114</v>
      </c>
      <c r="W68" s="271"/>
      <c r="X68" s="271">
        <f t="shared" si="7"/>
        <v>0</v>
      </c>
      <c r="Y68" s="271"/>
      <c r="Z68" s="271"/>
      <c r="AB68" s="273" t="str">
        <f t="shared" si="8"/>
        <v>GoldIshifuku Metal Industry Co., Ltd.</v>
      </c>
    </row>
    <row r="69" spans="1:28" s="272" customFormat="1" ht="49.2">
      <c r="A69" s="214" t="s">
        <v>685</v>
      </c>
      <c r="B69" s="215" t="s">
        <v>1130</v>
      </c>
      <c r="C69" s="219" t="s">
        <v>1235</v>
      </c>
      <c r="D69" s="278"/>
      <c r="E69" s="215" t="s">
        <v>889</v>
      </c>
      <c r="F69" s="215" t="s">
        <v>685</v>
      </c>
      <c r="G69" s="215" t="s">
        <v>13459</v>
      </c>
      <c r="H69" s="216">
        <v>0</v>
      </c>
      <c r="I69" s="217" t="s">
        <v>1602</v>
      </c>
      <c r="J69" s="217" t="s">
        <v>11478</v>
      </c>
      <c r="K69" s="268"/>
      <c r="L69" s="268"/>
      <c r="M69" s="268"/>
      <c r="N69" s="268"/>
      <c r="O69" s="268"/>
      <c r="P69" s="218"/>
      <c r="Q69" s="269"/>
      <c r="R69" s="215" t="str">
        <f ca="1">IF(ISERROR($V69),"",OFFSET('Smelter Look-up'!$C$4,$V69-4,0)&amp;"")</f>
        <v>Istanbul Gold Refinery</v>
      </c>
      <c r="S69" s="222" t="str">
        <f t="shared" ref="S69" ca="1" si="9">IF(B69="","",IF(ISERROR(MATCH($E69,CL,0)),"Unknown",INDIRECT("'C'!$A$"&amp;MATCH($E69,CL,0)+1)))</f>
        <v>TR</v>
      </c>
      <c r="T69" s="222" t="str">
        <f ca="1">IF(B69="","",IF(ISERROR(MATCH($J69,SorP!$B$1:$B$6230,0)),"",INDIRECT("'SorP'!$A$"&amp;MATCH($J69,SorP!$B$1:$B$6230,0))))</f>
        <v>TR-34</v>
      </c>
      <c r="U69" s="238"/>
      <c r="V69" s="270">
        <f>IF(C69="",NA(),MATCH($B69&amp;$C69,'Smelter Look-up'!$J:$J,0))</f>
        <v>115</v>
      </c>
      <c r="W69" s="271"/>
      <c r="X69" s="271">
        <f t="shared" ref="X69" si="10">IF(AND(C69="Smelter not listed",OR(LEN(D69)=0,LEN(E69)=0)),1,0)</f>
        <v>0</v>
      </c>
      <c r="Y69" s="271"/>
      <c r="Z69" s="271"/>
      <c r="AB69" s="273" t="str">
        <f t="shared" ref="AB69" si="11">B69&amp;C69</f>
        <v>GoldIstanbul Gold Refinery</v>
      </c>
    </row>
    <row r="70" spans="1:28" s="272" customFormat="1" ht="24.6">
      <c r="A70" s="214" t="s">
        <v>686</v>
      </c>
      <c r="B70" s="215" t="s">
        <v>1130</v>
      </c>
      <c r="C70" s="219" t="s">
        <v>908</v>
      </c>
      <c r="D70" s="278"/>
      <c r="E70" s="215" t="s">
        <v>1108</v>
      </c>
      <c r="F70" s="215" t="s">
        <v>686</v>
      </c>
      <c r="G70" s="215" t="s">
        <v>13459</v>
      </c>
      <c r="H70" s="216">
        <v>0</v>
      </c>
      <c r="I70" s="217" t="s">
        <v>1603</v>
      </c>
      <c r="J70" s="217" t="s">
        <v>1603</v>
      </c>
      <c r="K70" s="268"/>
      <c r="L70" s="268"/>
      <c r="M70" s="268"/>
      <c r="N70" s="268"/>
      <c r="O70" s="268"/>
      <c r="P70" s="218"/>
      <c r="Q70" s="269"/>
      <c r="R70" s="215" t="str">
        <f ca="1">IF(ISERROR($V70),"",OFFSET('Smelter Look-up'!$C$4,$V70-4,0)&amp;"")</f>
        <v>Japan Mint</v>
      </c>
      <c r="S70" s="222" t="str">
        <f t="shared" ref="S70:S101" ca="1" si="12">IF(B70="","",IF(ISERROR(MATCH($E70,CL,0)),"Unknown",INDIRECT("'C'!$A$"&amp;MATCH($E70,CL,0)+1)))</f>
        <v>JP</v>
      </c>
      <c r="T70" s="222" t="str">
        <f ca="1">IF(B70="","",IF(ISERROR(MATCH($J70,SorP!$B$1:$B$6230,0)),"",INDIRECT("'SorP'!$A$"&amp;MATCH($J70,SorP!$B$1:$B$6230,0))))</f>
        <v>JP-27</v>
      </c>
      <c r="U70" s="238"/>
      <c r="V70" s="270">
        <f>IF(C70="",NA(),MATCH($B70&amp;$C70,'Smelter Look-up'!$J:$J,0))</f>
        <v>118</v>
      </c>
      <c r="W70" s="271"/>
      <c r="X70" s="271">
        <f t="shared" ref="X70:X101" si="13">IF(AND(C70="Smelter not listed",OR(LEN(D70)=0,LEN(E70)=0)),1,0)</f>
        <v>0</v>
      </c>
      <c r="Y70" s="271"/>
      <c r="Z70" s="271"/>
      <c r="AB70" s="273" t="str">
        <f t="shared" ref="AB70:AB101" si="14">B70&amp;C70</f>
        <v>GoldJapan Mint</v>
      </c>
    </row>
    <row r="71" spans="1:28" s="272" customFormat="1" ht="61.5">
      <c r="A71" s="214" t="s">
        <v>799</v>
      </c>
      <c r="B71" s="215" t="s">
        <v>1133</v>
      </c>
      <c r="C71" s="219" t="s">
        <v>1382</v>
      </c>
      <c r="D71" s="278"/>
      <c r="E71" s="215" t="s">
        <v>1108</v>
      </c>
      <c r="F71" s="215" t="s">
        <v>799</v>
      </c>
      <c r="G71" s="215" t="s">
        <v>13459</v>
      </c>
      <c r="H71" s="216">
        <v>0</v>
      </c>
      <c r="I71" s="217" t="s">
        <v>2151</v>
      </c>
      <c r="J71" s="217" t="s">
        <v>1582</v>
      </c>
      <c r="K71" s="268"/>
      <c r="L71" s="268"/>
      <c r="M71" s="268"/>
      <c r="N71" s="268"/>
      <c r="O71" s="268"/>
      <c r="P71" s="218"/>
      <c r="Q71" s="269"/>
      <c r="R71" s="215" t="str">
        <f ca="1">IF(ISERROR($V71),"",OFFSET('Smelter Look-up'!$C$4,$V71-4,0)&amp;"")</f>
        <v>Japan New Metals Co., Ltd.</v>
      </c>
      <c r="S71" s="222" t="str">
        <f t="shared" ca="1" si="12"/>
        <v>JP</v>
      </c>
      <c r="T71" s="222" t="str">
        <f ca="1">IF(B71="","",IF(ISERROR(MATCH($J71,SorP!$B$1:$B$6230,0)),"",INDIRECT("'SorP'!$A$"&amp;MATCH($J71,SorP!$B$1:$B$6230,0))))</f>
        <v>JP-05</v>
      </c>
      <c r="U71" s="238"/>
      <c r="V71" s="270">
        <f>IF(C71="",NA(),MATCH($B71&amp;$C71,'Smelter Look-up'!$J:$J,0))</f>
        <v>572</v>
      </c>
      <c r="W71" s="271"/>
      <c r="X71" s="271">
        <f t="shared" si="13"/>
        <v>0</v>
      </c>
      <c r="Y71" s="271"/>
      <c r="Z71" s="271"/>
      <c r="AB71" s="273" t="str">
        <f t="shared" si="14"/>
        <v>TungstenJapan New Metals Co., Ltd.</v>
      </c>
    </row>
    <row r="72" spans="1:28" s="272" customFormat="1" ht="49.2">
      <c r="A72" s="214" t="s">
        <v>687</v>
      </c>
      <c r="B72" s="215" t="s">
        <v>1130</v>
      </c>
      <c r="C72" s="219" t="s">
        <v>2325</v>
      </c>
      <c r="D72" s="278"/>
      <c r="E72" s="215" t="s">
        <v>1100</v>
      </c>
      <c r="F72" s="215" t="s">
        <v>687</v>
      </c>
      <c r="G72" s="215" t="s">
        <v>13459</v>
      </c>
      <c r="H72" s="216">
        <v>0</v>
      </c>
      <c r="I72" s="217" t="s">
        <v>1604</v>
      </c>
      <c r="J72" s="217" t="s">
        <v>13842</v>
      </c>
      <c r="K72" s="268"/>
      <c r="L72" s="268"/>
      <c r="M72" s="268"/>
      <c r="N72" s="268"/>
      <c r="O72" s="268"/>
      <c r="P72" s="218"/>
      <c r="Q72" s="269"/>
      <c r="R72" s="215" t="str">
        <f ca="1">IF(ISERROR($V72),"",OFFSET('Smelter Look-up'!$C$4,$V72-4,0)&amp;"")</f>
        <v>Jiangxi Copper Co., Ltd.</v>
      </c>
      <c r="S72" s="222" t="str">
        <f t="shared" ca="1" si="12"/>
        <v>CN</v>
      </c>
      <c r="T72" s="222" t="str">
        <f ca="1">IF(B72="","",IF(ISERROR(MATCH($J72,SorP!$B$1:$B$6230,0)),"",INDIRECT("'SorP'!$A$"&amp;MATCH($J72,SorP!$B$1:$B$6230,0))))</f>
        <v>CN-JX</v>
      </c>
      <c r="U72" s="238"/>
      <c r="V72" s="270">
        <f>IF(C72="",NA(),MATCH($B72&amp;$C72,'Smelter Look-up'!$J:$J,0))</f>
        <v>120</v>
      </c>
      <c r="W72" s="271"/>
      <c r="X72" s="271">
        <f t="shared" si="13"/>
        <v>0</v>
      </c>
      <c r="Y72" s="271"/>
      <c r="Z72" s="271"/>
      <c r="AB72" s="273" t="str">
        <f t="shared" si="14"/>
        <v>GoldJiangxi Copper Co., Ltd.</v>
      </c>
    </row>
    <row r="73" spans="1:28" s="272" customFormat="1" ht="98.4">
      <c r="A73" s="214" t="s">
        <v>800</v>
      </c>
      <c r="B73" s="215" t="s">
        <v>1133</v>
      </c>
      <c r="C73" s="219" t="s">
        <v>149</v>
      </c>
      <c r="D73" s="278"/>
      <c r="E73" s="215" t="s">
        <v>1100</v>
      </c>
      <c r="F73" s="215" t="s">
        <v>800</v>
      </c>
      <c r="G73" s="215" t="s">
        <v>13459</v>
      </c>
      <c r="H73" s="216">
        <v>0</v>
      </c>
      <c r="I73" s="217" t="s">
        <v>1787</v>
      </c>
      <c r="J73" s="217" t="s">
        <v>13842</v>
      </c>
      <c r="K73" s="268"/>
      <c r="L73" s="268"/>
      <c r="M73" s="268"/>
      <c r="N73" s="268"/>
      <c r="O73" s="268"/>
      <c r="P73" s="218"/>
      <c r="Q73" s="269"/>
      <c r="R73" s="215" t="str">
        <f ca="1">IF(ISERROR($V73),"",OFFSET('Smelter Look-up'!$C$4,$V73-4,0)&amp;"")</f>
        <v>Ganzhou Huaxing Tungsten Products Co., Ltd.</v>
      </c>
      <c r="S73" s="222" t="str">
        <f t="shared" ca="1" si="12"/>
        <v>CN</v>
      </c>
      <c r="T73" s="222" t="str">
        <f ca="1">IF(B73="","",IF(ISERROR(MATCH($J73,SorP!$B$1:$B$6230,0)),"",INDIRECT("'SorP'!$A$"&amp;MATCH($J73,SorP!$B$1:$B$6230,0))))</f>
        <v>CN-JX</v>
      </c>
      <c r="U73" s="238"/>
      <c r="V73" s="270">
        <f>IF(C73="",NA(),MATCH($B73&amp;$C73,'Smelter Look-up'!$J:$J,0))</f>
        <v>556</v>
      </c>
      <c r="W73" s="271"/>
      <c r="X73" s="271">
        <f t="shared" si="13"/>
        <v>0</v>
      </c>
      <c r="Y73" s="271"/>
      <c r="Z73" s="271"/>
      <c r="AB73" s="273" t="str">
        <f t="shared" si="14"/>
        <v>TungstenGanzhou Huaxing Tungsten Products Co., Ltd.</v>
      </c>
    </row>
    <row r="74" spans="1:28" s="272" customFormat="1" ht="86.1">
      <c r="A74" s="214" t="s">
        <v>752</v>
      </c>
      <c r="B74" s="215" t="s">
        <v>1132</v>
      </c>
      <c r="C74" s="219" t="s">
        <v>4</v>
      </c>
      <c r="D74" s="278"/>
      <c r="E74" s="215" t="s">
        <v>1100</v>
      </c>
      <c r="F74" s="215" t="s">
        <v>752</v>
      </c>
      <c r="G74" s="215" t="s">
        <v>13459</v>
      </c>
      <c r="H74" s="216">
        <v>0</v>
      </c>
      <c r="I74" s="217" t="s">
        <v>1731</v>
      </c>
      <c r="J74" s="217" t="s">
        <v>13842</v>
      </c>
      <c r="K74" s="268"/>
      <c r="L74" s="268"/>
      <c r="M74" s="268"/>
      <c r="N74" s="268"/>
      <c r="O74" s="268"/>
      <c r="P74" s="218"/>
      <c r="Q74" s="269"/>
      <c r="R74" s="215" t="str">
        <f ca="1">IF(ISERROR($V74),"",OFFSET('Smelter Look-up'!$C$4,$V74-4,0)&amp;"")</f>
        <v>JiuJiang JinXin Nonferrous Metals Co., Ltd.</v>
      </c>
      <c r="S74" s="222" t="str">
        <f t="shared" ca="1" si="12"/>
        <v>CN</v>
      </c>
      <c r="T74" s="222" t="str">
        <f ca="1">IF(B74="","",IF(ISERROR(MATCH($J74,SorP!$B$1:$B$6230,0)),"",INDIRECT("'SorP'!$A$"&amp;MATCH($J74,SorP!$B$1:$B$6230,0))))</f>
        <v>CN-JX</v>
      </c>
      <c r="U74" s="238"/>
      <c r="V74" s="270">
        <f>IF(C74="",NA(),MATCH($B74&amp;$C74,'Smelter Look-up'!$J:$J,0))</f>
        <v>335</v>
      </c>
      <c r="W74" s="271"/>
      <c r="X74" s="271">
        <f t="shared" si="13"/>
        <v>0</v>
      </c>
      <c r="Y74" s="271"/>
      <c r="Z74" s="271"/>
      <c r="AB74" s="273" t="str">
        <f t="shared" si="14"/>
        <v>TantalumJiuJiang JinXin Nonferrous Metals Co., Ltd.</v>
      </c>
    </row>
    <row r="75" spans="1:28" s="272" customFormat="1" ht="49.2">
      <c r="A75" s="214" t="s">
        <v>753</v>
      </c>
      <c r="B75" s="215" t="s">
        <v>1132</v>
      </c>
      <c r="C75" s="219" t="s">
        <v>46</v>
      </c>
      <c r="D75" s="278"/>
      <c r="E75" s="215" t="s">
        <v>1100</v>
      </c>
      <c r="F75" s="215" t="s">
        <v>753</v>
      </c>
      <c r="G75" s="215" t="s">
        <v>13459</v>
      </c>
      <c r="H75" s="216">
        <v>0</v>
      </c>
      <c r="I75" s="217" t="s">
        <v>1731</v>
      </c>
      <c r="J75" s="217" t="s">
        <v>13842</v>
      </c>
      <c r="K75" s="268"/>
      <c r="L75" s="268"/>
      <c r="M75" s="268"/>
      <c r="N75" s="268"/>
      <c r="O75" s="268"/>
      <c r="P75" s="218"/>
      <c r="Q75" s="269"/>
      <c r="R75" s="215" t="str">
        <f ca="1">IF(ISERROR($V75),"",OFFSET('Smelter Look-up'!$C$4,$V75-4,0)&amp;"")</f>
        <v>Jiujiang Tanbre Co., Ltd.</v>
      </c>
      <c r="S75" s="222" t="str">
        <f t="shared" ca="1" si="12"/>
        <v>CN</v>
      </c>
      <c r="T75" s="222" t="str">
        <f ca="1">IF(B75="","",IF(ISERROR(MATCH($J75,SorP!$B$1:$B$6230,0)),"",INDIRECT("'SorP'!$A$"&amp;MATCH($J75,SorP!$B$1:$B$6230,0))))</f>
        <v>CN-JX</v>
      </c>
      <c r="U75" s="238"/>
      <c r="V75" s="270">
        <f>IF(C75="",NA(),MATCH($B75&amp;$C75,'Smelter Look-up'!$J:$J,0))</f>
        <v>337</v>
      </c>
      <c r="W75" s="271"/>
      <c r="X75" s="271">
        <f t="shared" si="13"/>
        <v>0</v>
      </c>
      <c r="Y75" s="271"/>
      <c r="Z75" s="271"/>
      <c r="AB75" s="273" t="str">
        <f t="shared" si="14"/>
        <v>TantalumJiujiang Tanbre Co., Ltd.</v>
      </c>
    </row>
    <row r="76" spans="1:28" s="272" customFormat="1" ht="49.2">
      <c r="A76" s="214" t="s">
        <v>688</v>
      </c>
      <c r="B76" s="215" t="s">
        <v>1130</v>
      </c>
      <c r="C76" s="219" t="s">
        <v>2217</v>
      </c>
      <c r="D76" s="278"/>
      <c r="E76" s="215" t="s">
        <v>2463</v>
      </c>
      <c r="F76" s="215" t="s">
        <v>688</v>
      </c>
      <c r="G76" s="215" t="s">
        <v>13459</v>
      </c>
      <c r="H76" s="216">
        <v>0</v>
      </c>
      <c r="I76" s="217" t="s">
        <v>1606</v>
      </c>
      <c r="J76" s="217" t="s">
        <v>1607</v>
      </c>
      <c r="K76" s="268"/>
      <c r="L76" s="268"/>
      <c r="M76" s="268"/>
      <c r="N76" s="268"/>
      <c r="O76" s="268"/>
      <c r="P76" s="218"/>
      <c r="Q76" s="269"/>
      <c r="R76" s="215" t="str">
        <f ca="1">IF(ISERROR($V76),"",OFFSET('Smelter Look-up'!$C$4,$V76-4,0)&amp;"")</f>
        <v>Asahi Refining USA Inc.</v>
      </c>
      <c r="S76" s="222" t="str">
        <f t="shared" ca="1" si="12"/>
        <v>US</v>
      </c>
      <c r="T76" s="222" t="str">
        <f ca="1">IF(B76="","",IF(ISERROR(MATCH($J76,SorP!$B$1:$B$6230,0)),"",INDIRECT("'SorP'!$A$"&amp;MATCH($J76,SorP!$B$1:$B$6230,0))))</f>
        <v>US-UT</v>
      </c>
      <c r="U76" s="238"/>
      <c r="V76" s="270">
        <f>IF(C76="",NA(),MATCH($B76&amp;$C76,'Smelter Look-up'!$J:$J,0))</f>
        <v>28</v>
      </c>
      <c r="W76" s="271"/>
      <c r="X76" s="271">
        <f t="shared" si="13"/>
        <v>0</v>
      </c>
      <c r="Y76" s="271"/>
      <c r="Z76" s="271"/>
      <c r="AB76" s="273" t="str">
        <f t="shared" si="14"/>
        <v>GoldAsahi Refining USA Inc.</v>
      </c>
    </row>
    <row r="77" spans="1:28" s="272" customFormat="1" ht="61.5">
      <c r="A77" s="214" t="s">
        <v>689</v>
      </c>
      <c r="B77" s="215" t="s">
        <v>1130</v>
      </c>
      <c r="C77" s="219" t="s">
        <v>2311</v>
      </c>
      <c r="D77" s="278"/>
      <c r="E77" s="215" t="s">
        <v>1097</v>
      </c>
      <c r="F77" s="215" t="s">
        <v>689</v>
      </c>
      <c r="G77" s="215" t="s">
        <v>13459</v>
      </c>
      <c r="H77" s="216">
        <v>0</v>
      </c>
      <c r="I77" s="217" t="s">
        <v>1609</v>
      </c>
      <c r="J77" s="217" t="s">
        <v>1610</v>
      </c>
      <c r="K77" s="268"/>
      <c r="L77" s="268"/>
      <c r="M77" s="268"/>
      <c r="N77" s="268"/>
      <c r="O77" s="268"/>
      <c r="P77" s="218"/>
      <c r="Q77" s="269"/>
      <c r="R77" s="215" t="str">
        <f ca="1">IF(ISERROR($V77),"",OFFSET('Smelter Look-up'!$C$4,$V77-4,0)&amp;"")</f>
        <v>Asahi Refining Canada Ltd.</v>
      </c>
      <c r="S77" s="222" t="str">
        <f t="shared" ca="1" si="12"/>
        <v>CA</v>
      </c>
      <c r="T77" s="222" t="str">
        <f ca="1">IF(B77="","",IF(ISERROR(MATCH($J77,SorP!$B$1:$B$6230,0)),"",INDIRECT("'SorP'!$A$"&amp;MATCH($J77,SorP!$B$1:$B$6230,0))))</f>
        <v>CA-ON</v>
      </c>
      <c r="U77" s="238"/>
      <c r="V77" s="270">
        <f>IF(C77="",NA(),MATCH($B77&amp;$C77,'Smelter Look-up'!$J:$J,0))</f>
        <v>27</v>
      </c>
      <c r="W77" s="271"/>
      <c r="X77" s="271">
        <f t="shared" si="13"/>
        <v>0</v>
      </c>
      <c r="Y77" s="271"/>
      <c r="Z77" s="271"/>
      <c r="AB77" s="273" t="str">
        <f t="shared" si="14"/>
        <v>GoldAsahi Refining Canada Ltd.</v>
      </c>
    </row>
    <row r="78" spans="1:28" s="272" customFormat="1" ht="36.9">
      <c r="A78" s="214" t="s">
        <v>691</v>
      </c>
      <c r="B78" s="215" t="s">
        <v>1130</v>
      </c>
      <c r="C78" s="219" t="s">
        <v>1407</v>
      </c>
      <c r="D78" s="278"/>
      <c r="E78" s="215" t="s">
        <v>883</v>
      </c>
      <c r="F78" s="215" t="s">
        <v>691</v>
      </c>
      <c r="G78" s="215" t="s">
        <v>13459</v>
      </c>
      <c r="H78" s="216">
        <v>0</v>
      </c>
      <c r="I78" s="217" t="s">
        <v>1611</v>
      </c>
      <c r="J78" s="217" t="s">
        <v>10153</v>
      </c>
      <c r="K78" s="268"/>
      <c r="L78" s="268"/>
      <c r="M78" s="268"/>
      <c r="N78" s="268"/>
      <c r="O78" s="268"/>
      <c r="P78" s="218"/>
      <c r="Q78" s="269"/>
      <c r="R78" s="215" t="str">
        <f ca="1">IF(ISERROR($V78),"",OFFSET('Smelter Look-up'!$C$4,$V78-4,0)&amp;"")</f>
        <v>JSC Uralelectromed</v>
      </c>
      <c r="S78" s="222" t="str">
        <f t="shared" ca="1" si="12"/>
        <v>RU</v>
      </c>
      <c r="T78" s="222" t="str">
        <f ca="1">IF(B78="","",IF(ISERROR(MATCH($J78,SorP!$B$1:$B$6230,0)),"",INDIRECT("'SorP'!$A$"&amp;MATCH($J78,SorP!$B$1:$B$6230,0))))</f>
        <v>RU-SVE</v>
      </c>
      <c r="U78" s="238"/>
      <c r="V78" s="270">
        <f>IF(C78="",NA(),MATCH($B78&amp;$C78,'Smelter Look-up'!$J:$J,0))</f>
        <v>127</v>
      </c>
      <c r="W78" s="271"/>
      <c r="X78" s="271">
        <f t="shared" si="13"/>
        <v>0</v>
      </c>
      <c r="Y78" s="271"/>
      <c r="Z78" s="271"/>
      <c r="AB78" s="273" t="str">
        <f t="shared" si="14"/>
        <v>GoldJSC Uralelectromed</v>
      </c>
    </row>
    <row r="79" spans="1:28" s="272" customFormat="1" ht="61.5">
      <c r="A79" s="214" t="s">
        <v>692</v>
      </c>
      <c r="B79" s="215" t="s">
        <v>1130</v>
      </c>
      <c r="C79" s="219" t="s">
        <v>55</v>
      </c>
      <c r="D79" s="278"/>
      <c r="E79" s="215" t="s">
        <v>1108</v>
      </c>
      <c r="F79" s="215" t="s">
        <v>692</v>
      </c>
      <c r="G79" s="215" t="s">
        <v>13459</v>
      </c>
      <c r="H79" s="216">
        <v>0</v>
      </c>
      <c r="I79" s="217" t="s">
        <v>2393</v>
      </c>
      <c r="J79" s="217" t="s">
        <v>6770</v>
      </c>
      <c r="K79" s="268"/>
      <c r="L79" s="268"/>
      <c r="M79" s="268"/>
      <c r="N79" s="268"/>
      <c r="O79" s="268"/>
      <c r="P79" s="218"/>
      <c r="Q79" s="269"/>
      <c r="R79" s="215" t="str">
        <f ca="1">IF(ISERROR($V79),"",OFFSET('Smelter Look-up'!$C$4,$V79-4,0)&amp;"")</f>
        <v>JX Nippon Mining &amp; Metals Co., Ltd.</v>
      </c>
      <c r="S79" s="222" t="str">
        <f t="shared" ca="1" si="12"/>
        <v>JP</v>
      </c>
      <c r="T79" s="222" t="str">
        <f ca="1">IF(B79="","",IF(ISERROR(MATCH($J79,SorP!$B$1:$B$6230,0)),"",INDIRECT("'SorP'!$A$"&amp;MATCH($J79,SorP!$B$1:$B$6230,0))))</f>
        <v>JP-44</v>
      </c>
      <c r="U79" s="238"/>
      <c r="V79" s="270">
        <f>IF(C79="",NA(),MATCH($B79&amp;$C79,'Smelter Look-up'!$J:$J,0))</f>
        <v>128</v>
      </c>
      <c r="W79" s="271"/>
      <c r="X79" s="271">
        <f t="shared" si="13"/>
        <v>0</v>
      </c>
      <c r="Y79" s="271"/>
      <c r="Z79" s="271"/>
      <c r="AB79" s="273" t="str">
        <f t="shared" si="14"/>
        <v>GoldJX Nippon Mining &amp; Metals Co., Ltd.</v>
      </c>
    </row>
    <row r="80" spans="1:28" s="272" customFormat="1" ht="86.1">
      <c r="A80" s="214" t="s">
        <v>772</v>
      </c>
      <c r="B80" s="215" t="s">
        <v>1131</v>
      </c>
      <c r="C80" s="219" t="s">
        <v>1427</v>
      </c>
      <c r="D80" s="278"/>
      <c r="E80" s="215" t="s">
        <v>1100</v>
      </c>
      <c r="F80" s="215" t="s">
        <v>772</v>
      </c>
      <c r="G80" s="215" t="s">
        <v>13459</v>
      </c>
      <c r="H80" s="216">
        <v>0</v>
      </c>
      <c r="I80" s="217" t="s">
        <v>2477</v>
      </c>
      <c r="J80" s="217" t="s">
        <v>13851</v>
      </c>
      <c r="K80" s="268"/>
      <c r="L80" s="268"/>
      <c r="M80" s="268"/>
      <c r="N80" s="268"/>
      <c r="O80" s="268"/>
      <c r="P80" s="218"/>
      <c r="Q80" s="269"/>
      <c r="R80" s="215" t="str">
        <f ca="1">IF(ISERROR($V80),"",OFFSET('Smelter Look-up'!$C$4,$V80-4,0)&amp;"")</f>
        <v>Gejiu Kai Meng Industry and Trade LLC</v>
      </c>
      <c r="S80" s="222" t="str">
        <f t="shared" ca="1" si="12"/>
        <v>CN</v>
      </c>
      <c r="T80" s="222" t="str">
        <f ca="1">IF(B80="","",IF(ISERROR(MATCH($J80,SorP!$B$1:$B$6230,0)),"",INDIRECT("'SorP'!$A$"&amp;MATCH($J80,SorP!$B$1:$B$6230,0))))</f>
        <v>CN-YN</v>
      </c>
      <c r="U80" s="238"/>
      <c r="V80" s="270">
        <f>IF(C80="",NA(),MATCH($B80&amp;$C80,'Smelter Look-up'!$J:$J,0))</f>
        <v>427</v>
      </c>
      <c r="W80" s="271"/>
      <c r="X80" s="271">
        <f t="shared" si="13"/>
        <v>0</v>
      </c>
      <c r="Y80" s="271"/>
      <c r="Z80" s="271"/>
      <c r="AB80" s="273" t="str">
        <f t="shared" si="14"/>
        <v>TinGejiu Kai Meng Industry and Trade LLC</v>
      </c>
    </row>
    <row r="81" spans="1:28" s="272" customFormat="1" ht="24.6">
      <c r="A81" s="214" t="s">
        <v>693</v>
      </c>
      <c r="B81" s="215" t="s">
        <v>1130</v>
      </c>
      <c r="C81" s="219" t="s">
        <v>1612</v>
      </c>
      <c r="D81" s="278"/>
      <c r="E81" s="215" t="s">
        <v>1109</v>
      </c>
      <c r="F81" s="215" t="s">
        <v>693</v>
      </c>
      <c r="G81" s="215" t="s">
        <v>13459</v>
      </c>
      <c r="H81" s="216">
        <v>0</v>
      </c>
      <c r="I81" s="217" t="s">
        <v>1613</v>
      </c>
      <c r="J81" s="217" t="s">
        <v>7164</v>
      </c>
      <c r="K81" s="268"/>
      <c r="L81" s="268"/>
      <c r="M81" s="268"/>
      <c r="N81" s="268"/>
      <c r="O81" s="268"/>
      <c r="P81" s="218"/>
      <c r="Q81" s="269"/>
      <c r="R81" s="215" t="str">
        <f ca="1">IF(ISERROR($V81),"",OFFSET('Smelter Look-up'!$C$4,$V81-4,0)&amp;"")</f>
        <v>Kazzinc</v>
      </c>
      <c r="S81" s="222" t="str">
        <f t="shared" ca="1" si="12"/>
        <v>KZ</v>
      </c>
      <c r="T81" s="222" t="str">
        <f ca="1">IF(B81="","",IF(ISERROR(MATCH($J81,SorP!$B$1:$B$6230,0)),"",INDIRECT("'SorP'!$A$"&amp;MATCH($J81,SorP!$B$1:$B$6230,0))))</f>
        <v>KZ-KAR</v>
      </c>
      <c r="U81" s="238"/>
      <c r="V81" s="270">
        <f>IF(C81="",NA(),MATCH($B81&amp;$C81,'Smelter Look-up'!$J:$J,0))</f>
        <v>132</v>
      </c>
      <c r="W81" s="271"/>
      <c r="X81" s="271">
        <f t="shared" si="13"/>
        <v>0</v>
      </c>
      <c r="Y81" s="271"/>
      <c r="Z81" s="271"/>
      <c r="AB81" s="273" t="str">
        <f t="shared" si="14"/>
        <v>GoldKazzinc</v>
      </c>
    </row>
    <row r="82" spans="1:28" s="272" customFormat="1" ht="49.2">
      <c r="A82" s="214" t="s">
        <v>801</v>
      </c>
      <c r="B82" s="215" t="s">
        <v>1133</v>
      </c>
      <c r="C82" s="219" t="s">
        <v>150</v>
      </c>
      <c r="D82" s="278"/>
      <c r="E82" s="215" t="s">
        <v>2463</v>
      </c>
      <c r="F82" s="215" t="s">
        <v>801</v>
      </c>
      <c r="G82" s="215" t="s">
        <v>13459</v>
      </c>
      <c r="H82" s="216">
        <v>0</v>
      </c>
      <c r="I82" s="217" t="s">
        <v>1844</v>
      </c>
      <c r="J82" s="217" t="s">
        <v>1769</v>
      </c>
      <c r="K82" s="268"/>
      <c r="L82" s="268"/>
      <c r="M82" s="268"/>
      <c r="N82" s="268"/>
      <c r="O82" s="268"/>
      <c r="P82" s="218"/>
      <c r="Q82" s="269"/>
      <c r="R82" s="215" t="str">
        <f ca="1">IF(ISERROR($V82),"",OFFSET('Smelter Look-up'!$C$4,$V82-4,0)&amp;"")</f>
        <v>Kennametal Fallon</v>
      </c>
      <c r="S82" s="222" t="str">
        <f t="shared" ca="1" si="12"/>
        <v>US</v>
      </c>
      <c r="T82" s="222" t="str">
        <f ca="1">IF(B82="","",IF(ISERROR(MATCH($J82,SorP!$B$1:$B$6230,0)),"",INDIRECT("'SorP'!$A$"&amp;MATCH($J82,SorP!$B$1:$B$6230,0))))</f>
        <v>US-NV</v>
      </c>
      <c r="U82" s="238"/>
      <c r="V82" s="270">
        <f>IF(C82="",NA(),MATCH($B82&amp;$C82,'Smelter Look-up'!$J:$J,0))</f>
        <v>582</v>
      </c>
      <c r="W82" s="271"/>
      <c r="X82" s="271">
        <f t="shared" si="13"/>
        <v>0</v>
      </c>
      <c r="Y82" s="271"/>
      <c r="Z82" s="271"/>
      <c r="AB82" s="273" t="str">
        <f t="shared" si="14"/>
        <v>TungstenKennametal Fallon</v>
      </c>
    </row>
    <row r="83" spans="1:28" s="272" customFormat="1" ht="61.5">
      <c r="A83" s="214" t="s">
        <v>695</v>
      </c>
      <c r="B83" s="215" t="s">
        <v>1130</v>
      </c>
      <c r="C83" s="219" t="s">
        <v>694</v>
      </c>
      <c r="D83" s="278"/>
      <c r="E83" s="215" t="s">
        <v>2463</v>
      </c>
      <c r="F83" s="215" t="s">
        <v>695</v>
      </c>
      <c r="G83" s="215" t="s">
        <v>13459</v>
      </c>
      <c r="H83" s="216">
        <v>0</v>
      </c>
      <c r="I83" s="217" t="s">
        <v>1614</v>
      </c>
      <c r="J83" s="217" t="s">
        <v>1607</v>
      </c>
      <c r="K83" s="268"/>
      <c r="L83" s="268"/>
      <c r="M83" s="268"/>
      <c r="N83" s="268"/>
      <c r="O83" s="268"/>
      <c r="P83" s="218"/>
      <c r="Q83" s="269"/>
      <c r="R83" s="215" t="str">
        <f ca="1">IF(ISERROR($V83),"",OFFSET('Smelter Look-up'!$C$4,$V83-4,0)&amp;"")</f>
        <v>Kennecott Utah Copper LLC</v>
      </c>
      <c r="S83" s="222" t="str">
        <f t="shared" ca="1" si="12"/>
        <v>US</v>
      </c>
      <c r="T83" s="222" t="str">
        <f ca="1">IF(B83="","",IF(ISERROR(MATCH($J83,SorP!$B$1:$B$6230,0)),"",INDIRECT("'SorP'!$A$"&amp;MATCH($J83,SorP!$B$1:$B$6230,0))))</f>
        <v>US-UT</v>
      </c>
      <c r="U83" s="238"/>
      <c r="V83" s="270">
        <f>IF(C83="",NA(),MATCH($B83&amp;$C83,'Smelter Look-up'!$J:$J,0))</f>
        <v>133</v>
      </c>
      <c r="W83" s="271"/>
      <c r="X83" s="271">
        <f t="shared" si="13"/>
        <v>0</v>
      </c>
      <c r="Y83" s="271"/>
      <c r="Z83" s="271"/>
      <c r="AB83" s="273" t="str">
        <f t="shared" si="14"/>
        <v>GoldKennecott Utah Copper LLC</v>
      </c>
    </row>
    <row r="84" spans="1:28" s="272" customFormat="1" ht="36.9">
      <c r="A84" s="214" t="s">
        <v>697</v>
      </c>
      <c r="B84" s="215" t="s">
        <v>1130</v>
      </c>
      <c r="C84" s="219" t="s">
        <v>846</v>
      </c>
      <c r="D84" s="278"/>
      <c r="E84" s="215" t="s">
        <v>1110</v>
      </c>
      <c r="F84" s="215" t="s">
        <v>697</v>
      </c>
      <c r="G84" s="215" t="s">
        <v>13459</v>
      </c>
      <c r="H84" s="216">
        <v>0</v>
      </c>
      <c r="I84" s="217" t="s">
        <v>1617</v>
      </c>
      <c r="J84" s="217" t="s">
        <v>13074</v>
      </c>
      <c r="K84" s="268"/>
      <c r="L84" s="268"/>
      <c r="M84" s="268"/>
      <c r="N84" s="268"/>
      <c r="O84" s="268"/>
      <c r="P84" s="218"/>
      <c r="Q84" s="269"/>
      <c r="R84" s="215" t="str">
        <f ca="1">IF(ISERROR($V84),"",OFFSET('Smelter Look-up'!$C$4,$V84-4,0)&amp;"")</f>
        <v>Kyrgyzaltyn JSC</v>
      </c>
      <c r="S84" s="222" t="str">
        <f t="shared" ca="1" si="12"/>
        <v>KG</v>
      </c>
      <c r="T84" s="222" t="str">
        <f ca="1">IF(B84="","",IF(ISERROR(MATCH($J84,SorP!$B$1:$B$6230,0)),"",INDIRECT("'SorP'!$A$"&amp;MATCH($J84,SorP!$B$1:$B$6230,0))))</f>
        <v>KG-C</v>
      </c>
      <c r="U84" s="238"/>
      <c r="V84" s="270">
        <f>IF(C84="",NA(),MATCH($B84&amp;$C84,'Smelter Look-up'!$J:$J,0))</f>
        <v>144</v>
      </c>
      <c r="W84" s="271"/>
      <c r="X84" s="271">
        <f t="shared" si="13"/>
        <v>0</v>
      </c>
      <c r="Y84" s="271"/>
      <c r="Z84" s="271"/>
      <c r="AB84" s="273" t="str">
        <f t="shared" si="14"/>
        <v>GoldKyrgyzaltyn JSC</v>
      </c>
    </row>
    <row r="85" spans="1:28" s="272" customFormat="1" ht="49.2">
      <c r="A85" s="214" t="s">
        <v>773</v>
      </c>
      <c r="B85" s="215" t="s">
        <v>1131</v>
      </c>
      <c r="C85" s="219" t="s">
        <v>1327</v>
      </c>
      <c r="D85" s="278"/>
      <c r="E85" s="215" t="s">
        <v>1100</v>
      </c>
      <c r="F85" s="215" t="s">
        <v>773</v>
      </c>
      <c r="G85" s="215" t="s">
        <v>13459</v>
      </c>
      <c r="H85" s="216">
        <v>0</v>
      </c>
      <c r="I85" s="217" t="s">
        <v>1789</v>
      </c>
      <c r="J85" s="217" t="s">
        <v>13826</v>
      </c>
      <c r="K85" s="268"/>
      <c r="L85" s="268"/>
      <c r="M85" s="268"/>
      <c r="N85" s="268"/>
      <c r="O85" s="268"/>
      <c r="P85" s="218"/>
      <c r="Q85" s="269"/>
      <c r="R85" s="215" t="str">
        <f ca="1">IF(ISERROR($V85),"",OFFSET('Smelter Look-up'!$C$4,$V85-4,0)&amp;"")</f>
        <v>China Tin Group Co., Ltd.</v>
      </c>
      <c r="S85" s="222" t="str">
        <f t="shared" ca="1" si="12"/>
        <v>CN</v>
      </c>
      <c r="T85" s="222" t="str">
        <f ca="1">IF(B85="","",IF(ISERROR(MATCH($J85,SorP!$B$1:$B$6230,0)),"",INDIRECT("'SorP'!$A$"&amp;MATCH($J85,SorP!$B$1:$B$6230,0))))</f>
        <v>CN-GX</v>
      </c>
      <c r="U85" s="238"/>
      <c r="V85" s="270">
        <f>IF(C85="",NA(),MATCH($B85&amp;$C85,'Smelter Look-up'!$J:$J,0))</f>
        <v>395</v>
      </c>
      <c r="W85" s="271"/>
      <c r="X85" s="271">
        <f t="shared" si="13"/>
        <v>0</v>
      </c>
      <c r="Y85" s="271"/>
      <c r="Z85" s="271"/>
      <c r="AB85" s="273" t="str">
        <f t="shared" si="14"/>
        <v>TinChina Tin Group Co., Ltd.</v>
      </c>
    </row>
    <row r="86" spans="1:28" s="272" customFormat="1" ht="49.2">
      <c r="A86" s="214" t="s">
        <v>754</v>
      </c>
      <c r="B86" s="215" t="s">
        <v>1132</v>
      </c>
      <c r="C86" s="219" t="s">
        <v>47</v>
      </c>
      <c r="D86" s="278"/>
      <c r="E86" s="215" t="s">
        <v>1096</v>
      </c>
      <c r="F86" s="215" t="s">
        <v>754</v>
      </c>
      <c r="G86" s="215" t="s">
        <v>13459</v>
      </c>
      <c r="H86" s="216">
        <v>0</v>
      </c>
      <c r="I86" s="217" t="s">
        <v>1732</v>
      </c>
      <c r="J86" s="217" t="s">
        <v>1554</v>
      </c>
      <c r="K86" s="268"/>
      <c r="L86" s="268"/>
      <c r="M86" s="268"/>
      <c r="N86" s="268"/>
      <c r="O86" s="268"/>
      <c r="P86" s="218"/>
      <c r="Q86" s="269"/>
      <c r="R86" s="215" t="str">
        <f ca="1">IF(ISERROR($V86),"",OFFSET('Smelter Look-up'!$C$4,$V86-4,0)&amp;"")</f>
        <v>LSM Brasil S.A.</v>
      </c>
      <c r="S86" s="222" t="str">
        <f t="shared" ca="1" si="12"/>
        <v>BR</v>
      </c>
      <c r="T86" s="222" t="str">
        <f ca="1">IF(B86="","",IF(ISERROR(MATCH($J86,SorP!$B$1:$B$6230,0)),"",INDIRECT("'SorP'!$A$"&amp;MATCH($J86,SorP!$B$1:$B$6230,0))))</f>
        <v>BR-MG</v>
      </c>
      <c r="U86" s="238"/>
      <c r="V86" s="270">
        <f>IF(C86="",NA(),MATCH($B86&amp;$C86,'Smelter Look-up'!$J:$J,0))</f>
        <v>341</v>
      </c>
      <c r="W86" s="271"/>
      <c r="X86" s="271">
        <f t="shared" si="13"/>
        <v>0</v>
      </c>
      <c r="Y86" s="271"/>
      <c r="Z86" s="271"/>
      <c r="AB86" s="273" t="str">
        <f t="shared" si="14"/>
        <v>TantalumLSM Brasil S.A.</v>
      </c>
    </row>
    <row r="87" spans="1:28" s="272" customFormat="1" ht="49.2">
      <c r="A87" s="214" t="s">
        <v>700</v>
      </c>
      <c r="B87" s="215" t="s">
        <v>1130</v>
      </c>
      <c r="C87" s="219" t="s">
        <v>56</v>
      </c>
      <c r="D87" s="278"/>
      <c r="E87" s="215" t="s">
        <v>1111</v>
      </c>
      <c r="F87" s="215" t="s">
        <v>700</v>
      </c>
      <c r="G87" s="215" t="s">
        <v>13459</v>
      </c>
      <c r="H87" s="216">
        <v>0</v>
      </c>
      <c r="I87" s="217" t="s">
        <v>1620</v>
      </c>
      <c r="J87" s="217" t="s">
        <v>13081</v>
      </c>
      <c r="K87" s="268"/>
      <c r="L87" s="268"/>
      <c r="M87" s="268"/>
      <c r="N87" s="268"/>
      <c r="O87" s="268"/>
      <c r="P87" s="218"/>
      <c r="Q87" s="269"/>
      <c r="R87" s="215" t="str">
        <f ca="1">IF(ISERROR($V87),"",OFFSET('Smelter Look-up'!$C$4,$V87-4,0)&amp;"")</f>
        <v>LS-NIKKO Copper Inc.</v>
      </c>
      <c r="S87" s="222" t="str">
        <f t="shared" ca="1" si="12"/>
        <v>KR</v>
      </c>
      <c r="T87" s="222" t="str">
        <f ca="1">IF(B87="","",IF(ISERROR(MATCH($J87,SorP!$B$1:$B$6230,0)),"",INDIRECT("'SorP'!$A$"&amp;MATCH($J87,SorP!$B$1:$B$6230,0))))</f>
        <v>KR-31</v>
      </c>
      <c r="U87" s="238"/>
      <c r="V87" s="270">
        <f>IF(C87="",NA(),MATCH($B87&amp;$C87,'Smelter Look-up'!$J:$J,0))</f>
        <v>153</v>
      </c>
      <c r="W87" s="271"/>
      <c r="X87" s="271">
        <f t="shared" si="13"/>
        <v>0</v>
      </c>
      <c r="Y87" s="271"/>
      <c r="Z87" s="271"/>
      <c r="AB87" s="273" t="str">
        <f t="shared" si="14"/>
        <v>GoldLS-NIKKO Copper Inc.</v>
      </c>
    </row>
    <row r="88" spans="1:28" s="272" customFormat="1" ht="73.8">
      <c r="A88" s="214" t="s">
        <v>774</v>
      </c>
      <c r="B88" s="215" t="s">
        <v>1131</v>
      </c>
      <c r="C88" s="219" t="s">
        <v>821</v>
      </c>
      <c r="D88" s="278"/>
      <c r="E88" s="215" t="s">
        <v>1115</v>
      </c>
      <c r="F88" s="215" t="s">
        <v>774</v>
      </c>
      <c r="G88" s="215" t="s">
        <v>13459</v>
      </c>
      <c r="H88" s="216">
        <v>0</v>
      </c>
      <c r="I88" s="217" t="s">
        <v>1794</v>
      </c>
      <c r="J88" s="217" t="s">
        <v>8868</v>
      </c>
      <c r="K88" s="268"/>
      <c r="L88" s="268"/>
      <c r="M88" s="268"/>
      <c r="N88" s="268"/>
      <c r="O88" s="268"/>
      <c r="P88" s="218"/>
      <c r="Q88" s="269"/>
      <c r="R88" s="215" t="str">
        <f ca="1">IF(ISERROR($V88),"",OFFSET('Smelter Look-up'!$C$4,$V88-4,0)&amp;"")</f>
        <v>Malaysia Smelting Corporation (MSC)</v>
      </c>
      <c r="S88" s="222" t="str">
        <f t="shared" ca="1" si="12"/>
        <v>MY</v>
      </c>
      <c r="T88" s="222" t="str">
        <f ca="1">IF(B88="","",IF(ISERROR(MATCH($J88,SorP!$B$1:$B$6230,0)),"",INDIRECT("'SorP'!$A$"&amp;MATCH($J88,SorP!$B$1:$B$6230,0))))</f>
        <v>MY-07</v>
      </c>
      <c r="U88" s="238"/>
      <c r="V88" s="270">
        <f>IF(C88="",NA(),MATCH($B88&amp;$C88,'Smelter Look-up'!$J:$J,0))</f>
        <v>449</v>
      </c>
      <c r="W88" s="271"/>
      <c r="X88" s="271">
        <f t="shared" si="13"/>
        <v>0</v>
      </c>
      <c r="Y88" s="271"/>
      <c r="Z88" s="271"/>
      <c r="AB88" s="273" t="str">
        <f t="shared" si="14"/>
        <v>TinMalaysia Smelting Corporation (MSC)</v>
      </c>
    </row>
    <row r="89" spans="1:28" s="272" customFormat="1" ht="24.6">
      <c r="A89" s="214" t="s">
        <v>703</v>
      </c>
      <c r="B89" s="215" t="s">
        <v>1130</v>
      </c>
      <c r="C89" s="219" t="s">
        <v>910</v>
      </c>
      <c r="D89" s="278"/>
      <c r="E89" s="215" t="s">
        <v>2463</v>
      </c>
      <c r="F89" s="215" t="s">
        <v>703</v>
      </c>
      <c r="G89" s="215" t="s">
        <v>13459</v>
      </c>
      <c r="H89" s="216">
        <v>0</v>
      </c>
      <c r="I89" s="217" t="s">
        <v>1623</v>
      </c>
      <c r="J89" s="217" t="s">
        <v>1624</v>
      </c>
      <c r="K89" s="268"/>
      <c r="L89" s="268"/>
      <c r="M89" s="268"/>
      <c r="N89" s="268"/>
      <c r="O89" s="268"/>
      <c r="P89" s="218"/>
      <c r="Q89" s="269"/>
      <c r="R89" s="215" t="str">
        <f ca="1">IF(ISERROR($V89),"",OFFSET('Smelter Look-up'!$C$4,$V89-4,0)&amp;"")</f>
        <v>Materion</v>
      </c>
      <c r="S89" s="222" t="str">
        <f t="shared" ca="1" si="12"/>
        <v>US</v>
      </c>
      <c r="T89" s="222" t="str">
        <f ca="1">IF(B89="","",IF(ISERROR(MATCH($J89,SorP!$B$1:$B$6230,0)),"",INDIRECT("'SorP'!$A$"&amp;MATCH($J89,SorP!$B$1:$B$6230,0))))</f>
        <v>US-NY</v>
      </c>
      <c r="U89" s="238"/>
      <c r="V89" s="270">
        <f>IF(C89="",NA(),MATCH($B89&amp;$C89,'Smelter Look-up'!$J:$J,0))</f>
        <v>159</v>
      </c>
      <c r="W89" s="271"/>
      <c r="X89" s="271">
        <f t="shared" si="13"/>
        <v>0</v>
      </c>
      <c r="Y89" s="271"/>
      <c r="Z89" s="271"/>
      <c r="AB89" s="273" t="str">
        <f t="shared" si="14"/>
        <v>GoldMaterion</v>
      </c>
    </row>
    <row r="90" spans="1:28" s="272" customFormat="1" ht="49.2">
      <c r="A90" s="214" t="s">
        <v>704</v>
      </c>
      <c r="B90" s="215" t="s">
        <v>1130</v>
      </c>
      <c r="C90" s="219" t="s">
        <v>57</v>
      </c>
      <c r="D90" s="278"/>
      <c r="E90" s="215" t="s">
        <v>1108</v>
      </c>
      <c r="F90" s="215" t="s">
        <v>704</v>
      </c>
      <c r="G90" s="215" t="s">
        <v>13459</v>
      </c>
      <c r="H90" s="216">
        <v>0</v>
      </c>
      <c r="I90" s="217" t="s">
        <v>1625</v>
      </c>
      <c r="J90" s="217" t="s">
        <v>1587</v>
      </c>
      <c r="K90" s="268"/>
      <c r="L90" s="268"/>
      <c r="M90" s="268"/>
      <c r="N90" s="268"/>
      <c r="O90" s="268"/>
      <c r="P90" s="218"/>
      <c r="Q90" s="269"/>
      <c r="R90" s="215" t="str">
        <f ca="1">IF(ISERROR($V90),"",OFFSET('Smelter Look-up'!$C$4,$V90-4,0)&amp;"")</f>
        <v>Matsuda Sangyo Co., Ltd.</v>
      </c>
      <c r="S90" s="222" t="str">
        <f t="shared" ca="1" si="12"/>
        <v>JP</v>
      </c>
      <c r="T90" s="222" t="str">
        <f ca="1">IF(B90="","",IF(ISERROR(MATCH($J90,SorP!$B$1:$B$6230,0)),"",INDIRECT("'SorP'!$A$"&amp;MATCH($J90,SorP!$B$1:$B$6230,0))))</f>
        <v>JP-11</v>
      </c>
      <c r="U90" s="238"/>
      <c r="V90" s="270">
        <f>IF(C90="",NA(),MATCH($B90&amp;$C90,'Smelter Look-up'!$J:$J,0))</f>
        <v>160</v>
      </c>
      <c r="W90" s="271"/>
      <c r="X90" s="271">
        <f t="shared" si="13"/>
        <v>0</v>
      </c>
      <c r="Y90" s="271"/>
      <c r="Z90" s="271"/>
      <c r="AB90" s="273" t="str">
        <f t="shared" si="14"/>
        <v>GoldMatsuda Sangyo Co., Ltd.</v>
      </c>
    </row>
    <row r="91" spans="1:28" s="272" customFormat="1" ht="49.2">
      <c r="A91" s="214" t="s">
        <v>1795</v>
      </c>
      <c r="B91" s="215" t="s">
        <v>1131</v>
      </c>
      <c r="C91" s="219" t="s">
        <v>2165</v>
      </c>
      <c r="D91" s="278"/>
      <c r="E91" s="215" t="s">
        <v>2463</v>
      </c>
      <c r="F91" s="215" t="s">
        <v>1795</v>
      </c>
      <c r="G91" s="215" t="s">
        <v>13459</v>
      </c>
      <c r="H91" s="216">
        <v>0</v>
      </c>
      <c r="I91" s="217" t="s">
        <v>1796</v>
      </c>
      <c r="J91" s="217" t="s">
        <v>1642</v>
      </c>
      <c r="K91" s="268"/>
      <c r="L91" s="268"/>
      <c r="M91" s="268"/>
      <c r="N91" s="268"/>
      <c r="O91" s="268"/>
      <c r="P91" s="218"/>
      <c r="Q91" s="269"/>
      <c r="R91" s="215" t="str">
        <f ca="1">IF(ISERROR($V91),"",OFFSET('Smelter Look-up'!$C$4,$V91-4,0)&amp;"")</f>
        <v>Metallic Resources, Inc.</v>
      </c>
      <c r="S91" s="222" t="str">
        <f t="shared" ca="1" si="12"/>
        <v>US</v>
      </c>
      <c r="T91" s="222" t="str">
        <f ca="1">IF(B91="","",IF(ISERROR(MATCH($J91,SorP!$B$1:$B$6230,0)),"",INDIRECT("'SorP'!$A$"&amp;MATCH($J91,SorP!$B$1:$B$6230,0))))</f>
        <v>US-OH</v>
      </c>
      <c r="U91" s="238"/>
      <c r="V91" s="270">
        <f>IF(C91="",NA(),MATCH($B91&amp;$C91,'Smelter Look-up'!$J:$J,0))</f>
        <v>453</v>
      </c>
      <c r="W91" s="271"/>
      <c r="X91" s="271">
        <f t="shared" si="13"/>
        <v>0</v>
      </c>
      <c r="Y91" s="271"/>
      <c r="Z91" s="271"/>
      <c r="AB91" s="273" t="str">
        <f t="shared" si="14"/>
        <v>TinMetallic Resources, Inc.</v>
      </c>
    </row>
    <row r="92" spans="1:28" s="272" customFormat="1" ht="73.8">
      <c r="A92" s="214" t="s">
        <v>1627</v>
      </c>
      <c r="B92" s="215" t="s">
        <v>1130</v>
      </c>
      <c r="C92" s="219" t="s">
        <v>1626</v>
      </c>
      <c r="D92" s="278"/>
      <c r="E92" s="215" t="s">
        <v>1100</v>
      </c>
      <c r="F92" s="215" t="s">
        <v>1627</v>
      </c>
      <c r="G92" s="215" t="s">
        <v>13459</v>
      </c>
      <c r="H92" s="216">
        <v>0</v>
      </c>
      <c r="I92" s="217" t="s">
        <v>2544</v>
      </c>
      <c r="J92" s="217" t="s">
        <v>13855</v>
      </c>
      <c r="K92" s="268"/>
      <c r="L92" s="268"/>
      <c r="M92" s="268"/>
      <c r="N92" s="268"/>
      <c r="O92" s="268"/>
      <c r="P92" s="218"/>
      <c r="Q92" s="269"/>
      <c r="R92" s="215" t="str">
        <f ca="1">IF(ISERROR($V92),"",OFFSET('Smelter Look-up'!$C$4,$V92-4,0)&amp;"")</f>
        <v>Metalor Technologies (Suzhou) Ltd.</v>
      </c>
      <c r="S92" s="222" t="str">
        <f t="shared" ca="1" si="12"/>
        <v>CN</v>
      </c>
      <c r="T92" s="222" t="str">
        <f ca="1">IF(B92="","",IF(ISERROR(MATCH($J92,SorP!$B$1:$B$6230,0)),"",INDIRECT("'SorP'!$A$"&amp;MATCH($J92,SorP!$B$1:$B$6230,0))))</f>
        <v>CN-JS</v>
      </c>
      <c r="U92" s="238"/>
      <c r="V92" s="270">
        <f>IF(C92="",NA(),MATCH($B92&amp;$C92,'Smelter Look-up'!$J:$J,0))</f>
        <v>170</v>
      </c>
      <c r="W92" s="271"/>
      <c r="X92" s="271">
        <f t="shared" si="13"/>
        <v>0</v>
      </c>
      <c r="Y92" s="271"/>
      <c r="Z92" s="271"/>
      <c r="AB92" s="273" t="str">
        <f t="shared" si="14"/>
        <v>GoldMetalor Technologies (Suzhou) Ltd.</v>
      </c>
    </row>
    <row r="93" spans="1:28" s="272" customFormat="1" ht="86.1">
      <c r="A93" s="214" t="s">
        <v>705</v>
      </c>
      <c r="B93" s="215" t="s">
        <v>1130</v>
      </c>
      <c r="C93" s="219" t="s">
        <v>2166</v>
      </c>
      <c r="D93" s="278"/>
      <c r="E93" s="215" t="s">
        <v>1100</v>
      </c>
      <c r="F93" s="215" t="s">
        <v>705</v>
      </c>
      <c r="G93" s="215" t="s">
        <v>13459</v>
      </c>
      <c r="H93" s="216">
        <v>0</v>
      </c>
      <c r="I93" s="217" t="s">
        <v>1628</v>
      </c>
      <c r="J93" s="217" t="s">
        <v>14067</v>
      </c>
      <c r="K93" s="268"/>
      <c r="L93" s="268"/>
      <c r="M93" s="268"/>
      <c r="N93" s="268"/>
      <c r="O93" s="268"/>
      <c r="P93" s="218"/>
      <c r="Q93" s="269"/>
      <c r="R93" s="215" t="str">
        <f ca="1">IF(ISERROR($V93),"",OFFSET('Smelter Look-up'!$C$4,$V93-4,0)&amp;"")</f>
        <v>Metalor Technologies (Hong Kong) Ltd.</v>
      </c>
      <c r="S93" s="222" t="str">
        <f t="shared" ca="1" si="12"/>
        <v>CN</v>
      </c>
      <c r="T93" s="222" t="str">
        <f ca="1">IF(B93="","",IF(ISERROR(MATCH($J93,SorP!$B$1:$B$6230,0)),"",INDIRECT("'SorP'!$A$"&amp;MATCH($J93,SorP!$B$1:$B$6230,0))))</f>
        <v>CN-HK</v>
      </c>
      <c r="U93" s="238"/>
      <c r="V93" s="270">
        <f>IF(C93="",NA(),MATCH($B93&amp;$C93,'Smelter Look-up'!$J:$J,0))</f>
        <v>168</v>
      </c>
      <c r="W93" s="271"/>
      <c r="X93" s="271">
        <f t="shared" si="13"/>
        <v>0</v>
      </c>
      <c r="Y93" s="271"/>
      <c r="Z93" s="271"/>
      <c r="AB93" s="273" t="str">
        <f t="shared" si="14"/>
        <v>GoldMetalor Technologies (Hong Kong) Ltd.</v>
      </c>
    </row>
    <row r="94" spans="1:28" s="272" customFormat="1" ht="86.1">
      <c r="A94" s="214" t="s">
        <v>706</v>
      </c>
      <c r="B94" s="215" t="s">
        <v>1130</v>
      </c>
      <c r="C94" s="219" t="s">
        <v>2167</v>
      </c>
      <c r="D94" s="278"/>
      <c r="E94" s="215" t="s">
        <v>886</v>
      </c>
      <c r="F94" s="215" t="s">
        <v>706</v>
      </c>
      <c r="G94" s="215" t="s">
        <v>13459</v>
      </c>
      <c r="H94" s="216">
        <v>0</v>
      </c>
      <c r="I94" s="217" t="s">
        <v>12936</v>
      </c>
      <c r="J94" s="217" t="s">
        <v>10505</v>
      </c>
      <c r="K94" s="268"/>
      <c r="L94" s="268"/>
      <c r="M94" s="268"/>
      <c r="N94" s="268"/>
      <c r="O94" s="268"/>
      <c r="P94" s="218"/>
      <c r="Q94" s="269"/>
      <c r="R94" s="215" t="str">
        <f ca="1">IF(ISERROR($V94),"",OFFSET('Smelter Look-up'!$C$4,$V94-4,0)&amp;"")</f>
        <v>Metalor Technologies (Singapore) Pte., Ltd.</v>
      </c>
      <c r="S94" s="222" t="str">
        <f t="shared" ca="1" si="12"/>
        <v>SG</v>
      </c>
      <c r="T94" s="222" t="str">
        <f ca="1">IF(B94="","",IF(ISERROR(MATCH($J94,SorP!$B$1:$B$6230,0)),"",INDIRECT("'SorP'!$A$"&amp;MATCH($J94,SorP!$B$1:$B$6230,0))))</f>
        <v>SG-05</v>
      </c>
      <c r="U94" s="238"/>
      <c r="V94" s="270">
        <f>IF(C94="",NA(),MATCH($B94&amp;$C94,'Smelter Look-up'!$J:$J,0))</f>
        <v>169</v>
      </c>
      <c r="W94" s="271"/>
      <c r="X94" s="271">
        <f t="shared" si="13"/>
        <v>0</v>
      </c>
      <c r="Y94" s="271"/>
      <c r="Z94" s="271"/>
      <c r="AB94" s="273" t="str">
        <f t="shared" si="14"/>
        <v>GoldMetalor Technologies (Singapore) Pte., Ltd.</v>
      </c>
    </row>
    <row r="95" spans="1:28" s="272" customFormat="1" ht="49.2">
      <c r="A95" s="214" t="s">
        <v>707</v>
      </c>
      <c r="B95" s="215" t="s">
        <v>1130</v>
      </c>
      <c r="C95" s="219" t="s">
        <v>2331</v>
      </c>
      <c r="D95" s="278"/>
      <c r="E95" s="215" t="s">
        <v>1098</v>
      </c>
      <c r="F95" s="215" t="s">
        <v>707</v>
      </c>
      <c r="G95" s="215" t="s">
        <v>13459</v>
      </c>
      <c r="H95" s="216">
        <v>0</v>
      </c>
      <c r="I95" s="217" t="s">
        <v>1629</v>
      </c>
      <c r="J95" s="217" t="s">
        <v>1630</v>
      </c>
      <c r="K95" s="268"/>
      <c r="L95" s="268"/>
      <c r="M95" s="268"/>
      <c r="N95" s="268"/>
      <c r="O95" s="268"/>
      <c r="P95" s="218"/>
      <c r="Q95" s="269"/>
      <c r="R95" s="215" t="str">
        <f ca="1">IF(ISERROR($V95),"",OFFSET('Smelter Look-up'!$C$4,$V95-4,0)&amp;"")</f>
        <v>Metalor Technologies S.A.</v>
      </c>
      <c r="S95" s="222" t="str">
        <f t="shared" ca="1" si="12"/>
        <v>CH</v>
      </c>
      <c r="T95" s="222" t="str">
        <f ca="1">IF(B95="","",IF(ISERROR(MATCH($J95,SorP!$B$1:$B$6230,0)),"",INDIRECT("'SorP'!$A$"&amp;MATCH($J95,SorP!$B$1:$B$6230,0))))</f>
        <v>CH-NE</v>
      </c>
      <c r="U95" s="238"/>
      <c r="V95" s="270">
        <f>IF(C95="",NA(),MATCH($B95&amp;$C95,'Smelter Look-up'!$J:$J,0))</f>
        <v>171</v>
      </c>
      <c r="W95" s="271"/>
      <c r="X95" s="271">
        <f t="shared" si="13"/>
        <v>0</v>
      </c>
      <c r="Y95" s="271"/>
      <c r="Z95" s="271"/>
      <c r="AB95" s="273" t="str">
        <f t="shared" si="14"/>
        <v>GoldMetalor Technologies S.A.</v>
      </c>
    </row>
    <row r="96" spans="1:28" s="272" customFormat="1" ht="61.5">
      <c r="A96" s="214" t="s">
        <v>708</v>
      </c>
      <c r="B96" s="215" t="s">
        <v>1130</v>
      </c>
      <c r="C96" s="219" t="s">
        <v>1229</v>
      </c>
      <c r="D96" s="278"/>
      <c r="E96" s="215" t="s">
        <v>2463</v>
      </c>
      <c r="F96" s="215" t="s">
        <v>708</v>
      </c>
      <c r="G96" s="215" t="s">
        <v>13459</v>
      </c>
      <c r="H96" s="216">
        <v>0</v>
      </c>
      <c r="I96" s="217" t="s">
        <v>1631</v>
      </c>
      <c r="J96" s="217" t="s">
        <v>1632</v>
      </c>
      <c r="K96" s="268"/>
      <c r="L96" s="268"/>
      <c r="M96" s="268"/>
      <c r="N96" s="268"/>
      <c r="O96" s="268"/>
      <c r="P96" s="218"/>
      <c r="Q96" s="269"/>
      <c r="R96" s="215" t="str">
        <f ca="1">IF(ISERROR($V96),"",OFFSET('Smelter Look-up'!$C$4,$V96-4,0)&amp;"")</f>
        <v>Metalor USA Refining Corporation</v>
      </c>
      <c r="S96" s="222" t="str">
        <f t="shared" ca="1" si="12"/>
        <v>US</v>
      </c>
      <c r="T96" s="222" t="str">
        <f ca="1">IF(B96="","",IF(ISERROR(MATCH($J96,SorP!$B$1:$B$6230,0)),"",INDIRECT("'SorP'!$A$"&amp;MATCH($J96,SorP!$B$1:$B$6230,0))))</f>
        <v>US-MA</v>
      </c>
      <c r="U96" s="238"/>
      <c r="V96" s="270">
        <f>IF(C96="",NA(),MATCH($B96&amp;$C96,'Smelter Look-up'!$J:$J,0))</f>
        <v>172</v>
      </c>
      <c r="W96" s="271"/>
      <c r="X96" s="271">
        <f t="shared" si="13"/>
        <v>0</v>
      </c>
      <c r="Y96" s="271"/>
      <c r="Z96" s="271"/>
      <c r="AB96" s="273" t="str">
        <f t="shared" si="14"/>
        <v>GoldMetalor USA Refining Corporation</v>
      </c>
    </row>
    <row r="97" spans="1:28" s="272" customFormat="1" ht="73.8">
      <c r="A97" s="214" t="s">
        <v>709</v>
      </c>
      <c r="B97" s="215" t="s">
        <v>1130</v>
      </c>
      <c r="C97" s="219" t="s">
        <v>12641</v>
      </c>
      <c r="D97" s="278"/>
      <c r="E97" s="215" t="s">
        <v>1113</v>
      </c>
      <c r="F97" s="215" t="s">
        <v>709</v>
      </c>
      <c r="G97" s="215" t="s">
        <v>13459</v>
      </c>
      <c r="H97" s="216">
        <v>0</v>
      </c>
      <c r="I97" s="217" t="s">
        <v>1633</v>
      </c>
      <c r="J97" s="217" t="s">
        <v>13099</v>
      </c>
      <c r="K97" s="268"/>
      <c r="L97" s="268"/>
      <c r="M97" s="268"/>
      <c r="N97" s="268"/>
      <c r="O97" s="268"/>
      <c r="P97" s="218"/>
      <c r="Q97" s="269"/>
      <c r="R97" s="215" t="str">
        <f ca="1">IF(ISERROR($V97),"",OFFSET('Smelter Look-up'!$C$4,$V97-4,0)&amp;"")</f>
        <v>Metalurgica Met-Mex Penoles S.A. De C.V.</v>
      </c>
      <c r="S97" s="222" t="str">
        <f t="shared" ca="1" si="12"/>
        <v>MX</v>
      </c>
      <c r="T97" s="222" t="str">
        <f ca="1">IF(B97="","",IF(ISERROR(MATCH($J97,SorP!$B$1:$B$6230,0)),"",INDIRECT("'SorP'!$A$"&amp;MATCH($J97,SorP!$B$1:$B$6230,0))))</f>
        <v>MX-COA</v>
      </c>
      <c r="U97" s="238"/>
      <c r="V97" s="270">
        <f>IF(C97="",NA(),MATCH($B97&amp;$C97,'Smelter Look-up'!$J:$J,0))</f>
        <v>173</v>
      </c>
      <c r="W97" s="271"/>
      <c r="X97" s="271">
        <f t="shared" si="13"/>
        <v>0</v>
      </c>
      <c r="Y97" s="271"/>
      <c r="Z97" s="271"/>
      <c r="AB97" s="273" t="str">
        <f t="shared" si="14"/>
        <v>GoldMetalurgica Met-Mex Penoles S.A. De C.V.</v>
      </c>
    </row>
    <row r="98" spans="1:28" s="272" customFormat="1" ht="86.1">
      <c r="A98" s="214" t="s">
        <v>755</v>
      </c>
      <c r="B98" s="215" t="s">
        <v>1132</v>
      </c>
      <c r="C98" s="219" t="s">
        <v>2168</v>
      </c>
      <c r="D98" s="278"/>
      <c r="E98" s="215" t="s">
        <v>1106</v>
      </c>
      <c r="F98" s="215" t="s">
        <v>755</v>
      </c>
      <c r="G98" s="215" t="s">
        <v>13459</v>
      </c>
      <c r="H98" s="216">
        <v>0</v>
      </c>
      <c r="I98" s="217" t="s">
        <v>1733</v>
      </c>
      <c r="J98" s="217" t="s">
        <v>1734</v>
      </c>
      <c r="K98" s="268"/>
      <c r="L98" s="268"/>
      <c r="M98" s="268"/>
      <c r="N98" s="268"/>
      <c r="O98" s="268"/>
      <c r="P98" s="218"/>
      <c r="Q98" s="269"/>
      <c r="R98" s="215" t="str">
        <f ca="1">IF(ISERROR($V98),"",OFFSET('Smelter Look-up'!$C$4,$V98-4,0)&amp;"")</f>
        <v>Metallurgical Products India Pvt., Ltd.</v>
      </c>
      <c r="S98" s="222" t="str">
        <f t="shared" ca="1" si="12"/>
        <v>IN</v>
      </c>
      <c r="T98" s="222" t="str">
        <f ca="1">IF(B98="","",IF(ISERROR(MATCH($J98,SorP!$B$1:$B$6230,0)),"",INDIRECT("'SorP'!$A$"&amp;MATCH($J98,SorP!$B$1:$B$6230,0))))</f>
        <v>IN-MH</v>
      </c>
      <c r="U98" s="238"/>
      <c r="V98" s="270">
        <f>IF(C98="",NA(),MATCH($B98&amp;$C98,'Smelter Look-up'!$J:$J,0))</f>
        <v>344</v>
      </c>
      <c r="W98" s="271"/>
      <c r="X98" s="271">
        <f t="shared" si="13"/>
        <v>0</v>
      </c>
      <c r="Y98" s="271"/>
      <c r="Z98" s="271"/>
      <c r="AB98" s="273" t="str">
        <f t="shared" si="14"/>
        <v>TantalumMetallurgical Products India Pvt., Ltd.</v>
      </c>
    </row>
    <row r="99" spans="1:28" s="272" customFormat="1" ht="49.2">
      <c r="A99" s="214" t="s">
        <v>775</v>
      </c>
      <c r="B99" s="215" t="s">
        <v>1131</v>
      </c>
      <c r="C99" s="219" t="s">
        <v>12642</v>
      </c>
      <c r="D99" s="278"/>
      <c r="E99" s="215" t="s">
        <v>1096</v>
      </c>
      <c r="F99" s="215" t="s">
        <v>775</v>
      </c>
      <c r="G99" s="215" t="s">
        <v>13459</v>
      </c>
      <c r="H99" s="216">
        <v>0</v>
      </c>
      <c r="I99" s="217" t="s">
        <v>1797</v>
      </c>
      <c r="J99" s="217" t="s">
        <v>1683</v>
      </c>
      <c r="K99" s="268"/>
      <c r="L99" s="268"/>
      <c r="M99" s="268"/>
      <c r="N99" s="268"/>
      <c r="O99" s="268"/>
      <c r="P99" s="218"/>
      <c r="Q99" s="269"/>
      <c r="R99" s="215" t="str">
        <f ca="1">IF(ISERROR($V99),"",OFFSET('Smelter Look-up'!$C$4,$V99-4,0)&amp;"")</f>
        <v>Mineracao Taboca S.A.</v>
      </c>
      <c r="S99" s="222" t="str">
        <f t="shared" ca="1" si="12"/>
        <v>BR</v>
      </c>
      <c r="T99" s="222" t="str">
        <f ca="1">IF(B99="","",IF(ISERROR(MATCH($J99,SorP!$B$1:$B$6230,0)),"",INDIRECT("'SorP'!$A$"&amp;MATCH($J99,SorP!$B$1:$B$6230,0))))</f>
        <v>BR-SP</v>
      </c>
      <c r="U99" s="238"/>
      <c r="V99" s="270">
        <f>IF(C99="",NA(),MATCH($B99&amp;$C99,'Smelter Look-up'!$J:$J,0))</f>
        <v>456</v>
      </c>
      <c r="W99" s="271"/>
      <c r="X99" s="271">
        <f t="shared" si="13"/>
        <v>0</v>
      </c>
      <c r="Y99" s="271"/>
      <c r="Z99" s="271"/>
      <c r="AB99" s="273" t="str">
        <f t="shared" si="14"/>
        <v>TinMineracao Taboca S.A.</v>
      </c>
    </row>
    <row r="100" spans="1:28" s="272" customFormat="1" ht="61.5">
      <c r="A100" s="214" t="s">
        <v>756</v>
      </c>
      <c r="B100" s="215" t="s">
        <v>1132</v>
      </c>
      <c r="C100" s="219" t="s">
        <v>12642</v>
      </c>
      <c r="D100" s="278"/>
      <c r="E100" s="215" t="s">
        <v>1096</v>
      </c>
      <c r="F100" s="215" t="s">
        <v>756</v>
      </c>
      <c r="G100" s="215" t="s">
        <v>13459</v>
      </c>
      <c r="H100" s="216">
        <v>0</v>
      </c>
      <c r="I100" s="217" t="s">
        <v>1736</v>
      </c>
      <c r="J100" s="217" t="s">
        <v>1737</v>
      </c>
      <c r="K100" s="268"/>
      <c r="L100" s="268"/>
      <c r="M100" s="268"/>
      <c r="N100" s="268"/>
      <c r="O100" s="268"/>
      <c r="P100" s="218"/>
      <c r="Q100" s="269"/>
      <c r="R100" s="215" t="str">
        <f ca="1">IF(ISERROR($V100),"",OFFSET('Smelter Look-up'!$C$4,$V100-4,0)&amp;"")</f>
        <v>Mineracao Taboca S.A.</v>
      </c>
      <c r="S100" s="222" t="str">
        <f t="shared" ca="1" si="12"/>
        <v>BR</v>
      </c>
      <c r="T100" s="222" t="str">
        <f ca="1">IF(B100="","",IF(ISERROR(MATCH($J100,SorP!$B$1:$B$6230,0)),"",INDIRECT("'SorP'!$A$"&amp;MATCH($J100,SorP!$B$1:$B$6230,0))))</f>
        <v>BR-AM</v>
      </c>
      <c r="U100" s="238"/>
      <c r="V100" s="270">
        <f>IF(C100="",NA(),MATCH($B100&amp;$C100,'Smelter Look-up'!$J:$J,0))</f>
        <v>345</v>
      </c>
      <c r="W100" s="271"/>
      <c r="X100" s="271">
        <f t="shared" si="13"/>
        <v>0</v>
      </c>
      <c r="Y100" s="271"/>
      <c r="Z100" s="271"/>
      <c r="AB100" s="273" t="str">
        <f t="shared" si="14"/>
        <v>TantalumMineracao Taboca S.A.</v>
      </c>
    </row>
    <row r="101" spans="1:28" s="272" customFormat="1" ht="24.6">
      <c r="A101" s="214" t="s">
        <v>776</v>
      </c>
      <c r="B101" s="215" t="s">
        <v>1131</v>
      </c>
      <c r="C101" s="219" t="s">
        <v>1034</v>
      </c>
      <c r="D101" s="278"/>
      <c r="E101" s="215" t="s">
        <v>880</v>
      </c>
      <c r="F101" s="215" t="s">
        <v>776</v>
      </c>
      <c r="G101" s="215" t="s">
        <v>13459</v>
      </c>
      <c r="H101" s="216">
        <v>0</v>
      </c>
      <c r="I101" s="217" t="s">
        <v>1799</v>
      </c>
      <c r="J101" s="217" t="s">
        <v>9323</v>
      </c>
      <c r="K101" s="268"/>
      <c r="L101" s="268"/>
      <c r="M101" s="268"/>
      <c r="N101" s="268"/>
      <c r="O101" s="268"/>
      <c r="P101" s="218"/>
      <c r="Q101" s="269"/>
      <c r="R101" s="215" t="str">
        <f ca="1">IF(ISERROR($V101),"",OFFSET('Smelter Look-up'!$C$4,$V101-4,0)&amp;"")</f>
        <v>Minsur</v>
      </c>
      <c r="S101" s="222" t="str">
        <f t="shared" ca="1" si="12"/>
        <v>PE</v>
      </c>
      <c r="T101" s="222" t="str">
        <f ca="1">IF(B101="","",IF(ISERROR(MATCH($J101,SorP!$B$1:$B$6230,0)),"",INDIRECT("'SorP'!$A$"&amp;MATCH($J101,SorP!$B$1:$B$6230,0))))</f>
        <v>PE-ICA</v>
      </c>
      <c r="U101" s="238"/>
      <c r="V101" s="270">
        <f>IF(C101="",NA(),MATCH($B101&amp;$C101,'Smelter Look-up'!$J:$J,0))</f>
        <v>460</v>
      </c>
      <c r="W101" s="271"/>
      <c r="X101" s="271">
        <f t="shared" si="13"/>
        <v>0</v>
      </c>
      <c r="Y101" s="271"/>
      <c r="Z101" s="271"/>
      <c r="AB101" s="273" t="str">
        <f t="shared" si="14"/>
        <v>TinMinsur</v>
      </c>
    </row>
    <row r="102" spans="1:28" s="272" customFormat="1" ht="61.5">
      <c r="A102" s="214" t="s">
        <v>710</v>
      </c>
      <c r="B102" s="215" t="s">
        <v>1130</v>
      </c>
      <c r="C102" s="219" t="s">
        <v>1164</v>
      </c>
      <c r="D102" s="278"/>
      <c r="E102" s="215" t="s">
        <v>1108</v>
      </c>
      <c r="F102" s="215" t="s">
        <v>710</v>
      </c>
      <c r="G102" s="215" t="s">
        <v>13459</v>
      </c>
      <c r="H102" s="216">
        <v>0</v>
      </c>
      <c r="I102" s="217" t="s">
        <v>15619</v>
      </c>
      <c r="J102" s="217" t="s">
        <v>2230</v>
      </c>
      <c r="K102" s="268"/>
      <c r="L102" s="268"/>
      <c r="M102" s="268"/>
      <c r="N102" s="268"/>
      <c r="O102" s="268"/>
      <c r="P102" s="218"/>
      <c r="Q102" s="269"/>
      <c r="R102" s="215" t="str">
        <f ca="1">IF(ISERROR($V102),"",OFFSET('Smelter Look-up'!$C$4,$V102-4,0)&amp;"")</f>
        <v>Mitsubishi Materials Corporation</v>
      </c>
      <c r="S102" s="222" t="str">
        <f t="shared" ref="S102:S132" ca="1" si="15">IF(B102="","",IF(ISERROR(MATCH($E102,CL,0)),"Unknown",INDIRECT("'C'!$A$"&amp;MATCH($E102,CL,0)+1)))</f>
        <v>JP</v>
      </c>
      <c r="T102" s="222" t="str">
        <f ca="1">IF(B102="","",IF(ISERROR(MATCH($J102,SorP!$B$1:$B$6230,0)),"",INDIRECT("'SorP'!$A$"&amp;MATCH($J102,SorP!$B$1:$B$6230,0))))</f>
        <v>JP-37</v>
      </c>
      <c r="U102" s="238"/>
      <c r="V102" s="270">
        <f>IF(C102="",NA(),MATCH($B102&amp;$C102,'Smelter Look-up'!$J:$J,0))</f>
        <v>177</v>
      </c>
      <c r="W102" s="271"/>
      <c r="X102" s="271">
        <f t="shared" ref="X102:X132" si="16">IF(AND(C102="Smelter not listed",OR(LEN(D102)=0,LEN(E102)=0)),1,0)</f>
        <v>0</v>
      </c>
      <c r="Y102" s="271"/>
      <c r="Z102" s="271"/>
      <c r="AB102" s="273" t="str">
        <f t="shared" ref="AB102:AB132" si="17">B102&amp;C102</f>
        <v>GoldMitsubishi Materials Corporation</v>
      </c>
    </row>
    <row r="103" spans="1:28" s="272" customFormat="1" ht="61.5">
      <c r="A103" s="214" t="s">
        <v>777</v>
      </c>
      <c r="B103" s="215" t="s">
        <v>1131</v>
      </c>
      <c r="C103" s="219" t="s">
        <v>1164</v>
      </c>
      <c r="D103" s="278"/>
      <c r="E103" s="215" t="s">
        <v>1108</v>
      </c>
      <c r="F103" s="215" t="s">
        <v>777</v>
      </c>
      <c r="G103" s="215" t="s">
        <v>13459</v>
      </c>
      <c r="H103" s="216">
        <v>0</v>
      </c>
      <c r="I103" s="217" t="s">
        <v>15620</v>
      </c>
      <c r="J103" s="217" t="s">
        <v>1558</v>
      </c>
      <c r="K103" s="268"/>
      <c r="L103" s="268"/>
      <c r="M103" s="268"/>
      <c r="N103" s="268"/>
      <c r="O103" s="268"/>
      <c r="P103" s="218"/>
      <c r="Q103" s="269"/>
      <c r="R103" s="215" t="str">
        <f ca="1">IF(ISERROR($V103),"",OFFSET('Smelter Look-up'!$C$4,$V103-4,0)&amp;"")</f>
        <v>Mitsubishi Materials Corporation</v>
      </c>
      <c r="S103" s="222" t="str">
        <f t="shared" ca="1" si="15"/>
        <v>JP</v>
      </c>
      <c r="T103" s="222" t="str">
        <f ca="1">IF(B103="","",IF(ISERROR(MATCH($J103,SorP!$B$1:$B$6230,0)),"",INDIRECT("'SorP'!$A$"&amp;MATCH($J103,SorP!$B$1:$B$6230,0))))</f>
        <v>JP-28</v>
      </c>
      <c r="U103" s="238"/>
      <c r="V103" s="270">
        <f>IF(C103="",NA(),MATCH($B103&amp;$C103,'Smelter Look-up'!$J:$J,0))</f>
        <v>461</v>
      </c>
      <c r="W103" s="271"/>
      <c r="X103" s="271">
        <f t="shared" si="16"/>
        <v>0</v>
      </c>
      <c r="Y103" s="271"/>
      <c r="Z103" s="271"/>
      <c r="AB103" s="273" t="str">
        <f t="shared" si="17"/>
        <v>TinMitsubishi Materials Corporation</v>
      </c>
    </row>
    <row r="104" spans="1:28" s="272" customFormat="1" ht="73.8">
      <c r="A104" s="214" t="s">
        <v>757</v>
      </c>
      <c r="B104" s="215" t="s">
        <v>1132</v>
      </c>
      <c r="C104" s="219" t="s">
        <v>1230</v>
      </c>
      <c r="D104" s="278"/>
      <c r="E104" s="215" t="s">
        <v>1108</v>
      </c>
      <c r="F104" s="215" t="s">
        <v>757</v>
      </c>
      <c r="G104" s="215" t="s">
        <v>13459</v>
      </c>
      <c r="H104" s="216">
        <v>0</v>
      </c>
      <c r="I104" s="217" t="s">
        <v>1738</v>
      </c>
      <c r="J104" s="217" t="s">
        <v>1739</v>
      </c>
      <c r="K104" s="268"/>
      <c r="L104" s="268"/>
      <c r="M104" s="268"/>
      <c r="N104" s="268"/>
      <c r="O104" s="268"/>
      <c r="P104" s="218"/>
      <c r="Q104" s="269"/>
      <c r="R104" s="215" t="str">
        <f ca="1">IF(ISERROR($V104),"",OFFSET('Smelter Look-up'!$C$4,$V104-4,0)&amp;"")</f>
        <v>Mitsui Mining and Smelting Co., Ltd.</v>
      </c>
      <c r="S104" s="222" t="str">
        <f t="shared" ca="1" si="15"/>
        <v>JP</v>
      </c>
      <c r="T104" s="222" t="str">
        <f ca="1">IF(B104="","",IF(ISERROR(MATCH($J104,SorP!$B$1:$B$6230,0)),"",INDIRECT("'SorP'!$A$"&amp;MATCH($J104,SorP!$B$1:$B$6230,0))))</f>
        <v>JP-40</v>
      </c>
      <c r="U104" s="238"/>
      <c r="V104" s="270">
        <f>IF(C104="",NA(),MATCH($B104&amp;$C104,'Smelter Look-up'!$J:$J,0))</f>
        <v>349</v>
      </c>
      <c r="W104" s="271"/>
      <c r="X104" s="271">
        <f t="shared" si="16"/>
        <v>0</v>
      </c>
      <c r="Y104" s="271"/>
      <c r="Z104" s="271"/>
      <c r="AB104" s="273" t="str">
        <f t="shared" si="17"/>
        <v>TantalumMitsui Mining and Smelting Co., Ltd.</v>
      </c>
    </row>
    <row r="105" spans="1:28" s="272" customFormat="1" ht="73.8">
      <c r="A105" s="214" t="s">
        <v>711</v>
      </c>
      <c r="B105" s="215" t="s">
        <v>1130</v>
      </c>
      <c r="C105" s="219" t="s">
        <v>1230</v>
      </c>
      <c r="D105" s="278"/>
      <c r="E105" s="215" t="s">
        <v>1108</v>
      </c>
      <c r="F105" s="215" t="s">
        <v>711</v>
      </c>
      <c r="G105" s="215" t="s">
        <v>13459</v>
      </c>
      <c r="H105" s="216">
        <v>0</v>
      </c>
      <c r="I105" s="217" t="s">
        <v>1635</v>
      </c>
      <c r="J105" s="217" t="s">
        <v>1634</v>
      </c>
      <c r="K105" s="268"/>
      <c r="L105" s="268"/>
      <c r="M105" s="268"/>
      <c r="N105" s="268"/>
      <c r="O105" s="268"/>
      <c r="P105" s="218"/>
      <c r="Q105" s="269"/>
      <c r="R105" s="215" t="str">
        <f ca="1">IF(ISERROR($V105),"",OFFSET('Smelter Look-up'!$C$4,$V105-4,0)&amp;"")</f>
        <v>Mitsui Mining and Smelting Co., Ltd.</v>
      </c>
      <c r="S105" s="222" t="str">
        <f t="shared" ca="1" si="15"/>
        <v>JP</v>
      </c>
      <c r="T105" s="222" t="str">
        <f ca="1">IF(B105="","",IF(ISERROR(MATCH($J105,SorP!$B$1:$B$6230,0)),"",INDIRECT("'SorP'!$A$"&amp;MATCH($J105,SorP!$B$1:$B$6230,0))))</f>
        <v>JP-34</v>
      </c>
      <c r="U105" s="238"/>
      <c r="V105" s="270">
        <f>IF(C105="",NA(),MATCH($B105&amp;$C105,'Smelter Look-up'!$J:$J,0))</f>
        <v>179</v>
      </c>
      <c r="W105" s="271"/>
      <c r="X105" s="271">
        <f t="shared" si="16"/>
        <v>0</v>
      </c>
      <c r="Y105" s="271"/>
      <c r="Z105" s="271"/>
      <c r="AB105" s="273" t="str">
        <f t="shared" si="17"/>
        <v>GoldMitsui Mining and Smelting Co., Ltd.</v>
      </c>
    </row>
    <row r="106" spans="1:28" s="272" customFormat="1" ht="49.2">
      <c r="A106" s="214" t="s">
        <v>758</v>
      </c>
      <c r="B106" s="215" t="s">
        <v>1132</v>
      </c>
      <c r="C106" s="219" t="s">
        <v>2560</v>
      </c>
      <c r="D106" s="278"/>
      <c r="E106" s="215" t="s">
        <v>1103</v>
      </c>
      <c r="F106" s="215" t="s">
        <v>758</v>
      </c>
      <c r="G106" s="215" t="s">
        <v>13459</v>
      </c>
      <c r="H106" s="216">
        <v>0</v>
      </c>
      <c r="I106" s="217" t="s">
        <v>1740</v>
      </c>
      <c r="J106" s="217" t="s">
        <v>1741</v>
      </c>
      <c r="K106" s="268"/>
      <c r="L106" s="268"/>
      <c r="M106" s="268"/>
      <c r="N106" s="268"/>
      <c r="O106" s="268"/>
      <c r="P106" s="218"/>
      <c r="Q106" s="269"/>
      <c r="R106" s="215" t="str">
        <f ca="1">IF(ISERROR($V106),"",OFFSET('Smelter Look-up'!$C$4,$V106-4,0)&amp;"")</f>
        <v>NPM Silmet AS</v>
      </c>
      <c r="S106" s="222" t="str">
        <f t="shared" ca="1" si="15"/>
        <v>EE</v>
      </c>
      <c r="T106" s="222" t="str">
        <f ca="1">IF(B106="","",IF(ISERROR(MATCH($J106,SorP!$B$1:$B$6230,0)),"",INDIRECT("'SorP'!$A$"&amp;MATCH($J106,SorP!$B$1:$B$6230,0))))</f>
        <v>EE-44</v>
      </c>
      <c r="U106" s="238"/>
      <c r="V106" s="270">
        <f>IF(C106="",NA(),MATCH($B106&amp;$C106,'Smelter Look-up'!$J:$J,0))</f>
        <v>353</v>
      </c>
      <c r="W106" s="271"/>
      <c r="X106" s="271">
        <f t="shared" si="16"/>
        <v>0</v>
      </c>
      <c r="Y106" s="271"/>
      <c r="Z106" s="271"/>
      <c r="AB106" s="273" t="str">
        <f t="shared" si="17"/>
        <v>TantalumNPM Silmet AS</v>
      </c>
    </row>
    <row r="107" spans="1:28" s="272" customFormat="1" ht="73.8">
      <c r="A107" s="214" t="s">
        <v>712</v>
      </c>
      <c r="B107" s="215" t="s">
        <v>1130</v>
      </c>
      <c r="C107" s="219" t="s">
        <v>911</v>
      </c>
      <c r="D107" s="278"/>
      <c r="E107" s="215" t="s">
        <v>883</v>
      </c>
      <c r="F107" s="215" t="s">
        <v>712</v>
      </c>
      <c r="G107" s="215" t="s">
        <v>13459</v>
      </c>
      <c r="H107" s="216">
        <v>0</v>
      </c>
      <c r="I107" s="217" t="s">
        <v>1637</v>
      </c>
      <c r="J107" s="217" t="s">
        <v>10102</v>
      </c>
      <c r="K107" s="268"/>
      <c r="L107" s="268"/>
      <c r="M107" s="268"/>
      <c r="N107" s="268"/>
      <c r="O107" s="268"/>
      <c r="P107" s="218"/>
      <c r="Q107" s="269"/>
      <c r="R107" s="215" t="str">
        <f ca="1">IF(ISERROR($V107),"",OFFSET('Smelter Look-up'!$C$4,$V107-4,0)&amp;"")</f>
        <v>Moscow Special Alloys Processing Plant</v>
      </c>
      <c r="S107" s="222" t="str">
        <f t="shared" ca="1" si="15"/>
        <v>RU</v>
      </c>
      <c r="T107" s="222" t="str">
        <f ca="1">IF(B107="","",IF(ISERROR(MATCH($J107,SorP!$B$1:$B$6230,0)),"",INDIRECT("'SorP'!$A$"&amp;MATCH($J107,SorP!$B$1:$B$6230,0))))</f>
        <v>RU-MOW</v>
      </c>
      <c r="U107" s="238"/>
      <c r="V107" s="270">
        <f>IF(C107="",NA(),MATCH($B107&amp;$C107,'Smelter Look-up'!$J:$J,0))</f>
        <v>183</v>
      </c>
      <c r="W107" s="271"/>
      <c r="X107" s="271">
        <f t="shared" si="16"/>
        <v>0</v>
      </c>
      <c r="Y107" s="271"/>
      <c r="Z107" s="271"/>
      <c r="AB107" s="273" t="str">
        <f t="shared" si="17"/>
        <v>GoldMoscow Special Alloys Processing Plant</v>
      </c>
    </row>
    <row r="108" spans="1:28" s="272" customFormat="1" ht="61.5">
      <c r="A108" s="214" t="s">
        <v>713</v>
      </c>
      <c r="B108" s="215" t="s">
        <v>1130</v>
      </c>
      <c r="C108" s="219" t="s">
        <v>12643</v>
      </c>
      <c r="D108" s="278"/>
      <c r="E108" s="215" t="s">
        <v>889</v>
      </c>
      <c r="F108" s="215" t="s">
        <v>713</v>
      </c>
      <c r="G108" s="215" t="s">
        <v>13459</v>
      </c>
      <c r="H108" s="216">
        <v>0</v>
      </c>
      <c r="I108" s="217" t="s">
        <v>1638</v>
      </c>
      <c r="J108" s="217" t="s">
        <v>11478</v>
      </c>
      <c r="K108" s="268"/>
      <c r="L108" s="268"/>
      <c r="M108" s="268"/>
      <c r="N108" s="268"/>
      <c r="O108" s="268"/>
      <c r="P108" s="218"/>
      <c r="Q108" s="269"/>
      <c r="R108" s="215" t="str">
        <f ca="1">IF(ISERROR($V108),"",OFFSET('Smelter Look-up'!$C$4,$V108-4,0)&amp;"")</f>
        <v>Nadir Metal Rafineri San. Ve Tic. A.S.</v>
      </c>
      <c r="S108" s="222" t="str">
        <f t="shared" ca="1" si="15"/>
        <v>TR</v>
      </c>
      <c r="T108" s="222" t="str">
        <f ca="1">IF(B108="","",IF(ISERROR(MATCH($J108,SorP!$B$1:$B$6230,0)),"",INDIRECT("'SorP'!$A$"&amp;MATCH($J108,SorP!$B$1:$B$6230,0))))</f>
        <v>TR-34</v>
      </c>
      <c r="U108" s="238"/>
      <c r="V108" s="270">
        <f>IF(C108="",NA(),MATCH($B108&amp;$C108,'Smelter Look-up'!$J:$J,0))</f>
        <v>184</v>
      </c>
      <c r="W108" s="271"/>
      <c r="X108" s="271">
        <f t="shared" si="16"/>
        <v>0</v>
      </c>
      <c r="Y108" s="271"/>
      <c r="Z108" s="271"/>
      <c r="AB108" s="273" t="str">
        <f t="shared" si="17"/>
        <v>GoldNadir Metal Rafineri San. Ve Tic. A.S.</v>
      </c>
    </row>
    <row r="109" spans="1:28" s="272" customFormat="1" ht="61.5">
      <c r="A109" s="214" t="s">
        <v>1802</v>
      </c>
      <c r="B109" s="215" t="s">
        <v>1131</v>
      </c>
      <c r="C109" s="219" t="s">
        <v>13400</v>
      </c>
      <c r="D109" s="278"/>
      <c r="E109" s="215" t="s">
        <v>1100</v>
      </c>
      <c r="F109" s="215" t="s">
        <v>1802</v>
      </c>
      <c r="G109" s="215" t="s">
        <v>13459</v>
      </c>
      <c r="H109" s="216">
        <v>0</v>
      </c>
      <c r="I109" s="217" t="s">
        <v>1787</v>
      </c>
      <c r="J109" s="217" t="s">
        <v>13842</v>
      </c>
      <c r="K109" s="268"/>
      <c r="L109" s="268"/>
      <c r="M109" s="268"/>
      <c r="N109" s="268"/>
      <c r="O109" s="268"/>
      <c r="P109" s="218"/>
      <c r="Q109" s="269"/>
      <c r="R109" s="215" t="str">
        <f ca="1">IF(ISERROR($V109),"",OFFSET('Smelter Look-up'!$C$4,$V109-4,0)&amp;"")</f>
        <v>Jiangxi New Nanshan Technology Ltd.</v>
      </c>
      <c r="S109" s="222" t="str">
        <f t="shared" ca="1" si="15"/>
        <v>CN</v>
      </c>
      <c r="T109" s="222" t="str">
        <f ca="1">IF(B109="","",IF(ISERROR(MATCH($J109,SorP!$B$1:$B$6230,0)),"",INDIRECT("'SorP'!$A$"&amp;MATCH($J109,SorP!$B$1:$B$6230,0))))</f>
        <v>CN-JX</v>
      </c>
      <c r="U109" s="238"/>
      <c r="V109" s="270">
        <f>IF(C109="",NA(),MATCH($B109&amp;$C109,'Smelter Look-up'!$J:$J,0))</f>
        <v>440</v>
      </c>
      <c r="W109" s="271"/>
      <c r="X109" s="271">
        <f t="shared" si="16"/>
        <v>0</v>
      </c>
      <c r="Y109" s="271"/>
      <c r="Z109" s="271"/>
      <c r="AB109" s="273" t="str">
        <f t="shared" si="17"/>
        <v>TinJiangxi New Nanshan Technology Ltd.</v>
      </c>
    </row>
    <row r="110" spans="1:28" s="272" customFormat="1" ht="49.2">
      <c r="A110" s="214" t="s">
        <v>715</v>
      </c>
      <c r="B110" s="215" t="s">
        <v>1130</v>
      </c>
      <c r="C110" s="219" t="s">
        <v>2170</v>
      </c>
      <c r="D110" s="278"/>
      <c r="E110" s="215" t="s">
        <v>1108</v>
      </c>
      <c r="F110" s="215" t="s">
        <v>715</v>
      </c>
      <c r="G110" s="215" t="s">
        <v>13459</v>
      </c>
      <c r="H110" s="216">
        <v>0</v>
      </c>
      <c r="I110" s="217" t="s">
        <v>1640</v>
      </c>
      <c r="J110" s="217" t="s">
        <v>1641</v>
      </c>
      <c r="K110" s="268"/>
      <c r="L110" s="268"/>
      <c r="M110" s="268"/>
      <c r="N110" s="268"/>
      <c r="O110" s="268"/>
      <c r="P110" s="218"/>
      <c r="Q110" s="269"/>
      <c r="R110" s="215" t="str">
        <f ca="1">IF(ISERROR($V110),"",OFFSET('Smelter Look-up'!$C$4,$V110-4,0)&amp;"")</f>
        <v>Nihon Material Co., Ltd.</v>
      </c>
      <c r="S110" s="222" t="str">
        <f t="shared" ca="1" si="15"/>
        <v>JP</v>
      </c>
      <c r="T110" s="222" t="str">
        <f ca="1">IF(B110="","",IF(ISERROR(MATCH($J110,SorP!$B$1:$B$6230,0)),"",INDIRECT("'SorP'!$A$"&amp;MATCH($J110,SorP!$B$1:$B$6230,0))))</f>
        <v>JP-12</v>
      </c>
      <c r="U110" s="238"/>
      <c r="V110" s="270">
        <f>IF(C110="",NA(),MATCH($B110&amp;$C110,'Smelter Look-up'!$J:$J,0))</f>
        <v>188</v>
      </c>
      <c r="W110" s="271"/>
      <c r="X110" s="271">
        <f t="shared" si="16"/>
        <v>0</v>
      </c>
      <c r="Y110" s="271"/>
      <c r="Z110" s="271"/>
      <c r="AB110" s="273" t="str">
        <f t="shared" si="17"/>
        <v>GoldNihon Material Co., Ltd.</v>
      </c>
    </row>
    <row r="111" spans="1:28" s="272" customFormat="1" ht="86.1">
      <c r="A111" s="214" t="s">
        <v>759</v>
      </c>
      <c r="B111" s="215" t="s">
        <v>1132</v>
      </c>
      <c r="C111" s="219" t="s">
        <v>1030</v>
      </c>
      <c r="D111" s="278"/>
      <c r="E111" s="215" t="s">
        <v>1100</v>
      </c>
      <c r="F111" s="215" t="s">
        <v>759</v>
      </c>
      <c r="G111" s="215" t="s">
        <v>13459</v>
      </c>
      <c r="H111" s="216">
        <v>0</v>
      </c>
      <c r="I111" s="217" t="s">
        <v>1742</v>
      </c>
      <c r="J111" s="217" t="s">
        <v>13828</v>
      </c>
      <c r="K111" s="268"/>
      <c r="L111" s="268"/>
      <c r="M111" s="268"/>
      <c r="N111" s="268"/>
      <c r="O111" s="268"/>
      <c r="P111" s="218"/>
      <c r="Q111" s="269"/>
      <c r="R111" s="215" t="str">
        <f ca="1">IF(ISERROR($V111),"",OFFSET('Smelter Look-up'!$C$4,$V111-4,0)&amp;"")</f>
        <v>Ningxia Orient Tantalum Industry Co., Ltd.</v>
      </c>
      <c r="S111" s="222" t="str">
        <f t="shared" ca="1" si="15"/>
        <v>CN</v>
      </c>
      <c r="T111" s="222" t="str">
        <f ca="1">IF(B111="","",IF(ISERROR(MATCH($J111,SorP!$B$1:$B$6230,0)),"",INDIRECT("'SorP'!$A$"&amp;MATCH($J111,SorP!$B$1:$B$6230,0))))</f>
        <v>CN-NX</v>
      </c>
      <c r="U111" s="238"/>
      <c r="V111" s="270">
        <f>IF(C111="",NA(),MATCH($B111&amp;$C111,'Smelter Look-up'!$J:$J,0))</f>
        <v>352</v>
      </c>
      <c r="W111" s="271"/>
      <c r="X111" s="271">
        <f t="shared" si="16"/>
        <v>0</v>
      </c>
      <c r="Y111" s="271"/>
      <c r="Z111" s="271"/>
      <c r="AB111" s="273" t="str">
        <f t="shared" si="17"/>
        <v>TantalumNingxia Orient Tantalum Industry Co., Ltd.</v>
      </c>
    </row>
    <row r="112" spans="1:28" s="272" customFormat="1" ht="73.8">
      <c r="A112" s="214" t="s">
        <v>779</v>
      </c>
      <c r="B112" s="215" t="s">
        <v>1131</v>
      </c>
      <c r="C112" s="219" t="s">
        <v>778</v>
      </c>
      <c r="D112" s="278"/>
      <c r="E112" s="215" t="s">
        <v>888</v>
      </c>
      <c r="F112" s="215" t="s">
        <v>779</v>
      </c>
      <c r="G112" s="215" t="s">
        <v>13459</v>
      </c>
      <c r="H112" s="216">
        <v>0</v>
      </c>
      <c r="I112" s="217" t="s">
        <v>2368</v>
      </c>
      <c r="J112" s="217" t="s">
        <v>11235</v>
      </c>
      <c r="K112" s="268"/>
      <c r="L112" s="268"/>
      <c r="M112" s="268"/>
      <c r="N112" s="268"/>
      <c r="O112" s="268"/>
      <c r="P112" s="218"/>
      <c r="Q112" s="269"/>
      <c r="R112" s="215" t="str">
        <f ca="1">IF(ISERROR($V112),"",OFFSET('Smelter Look-up'!$C$4,$V112-4,0)&amp;"")</f>
        <v>O.M. Manufacturing (Thailand) Co., Ltd.</v>
      </c>
      <c r="S112" s="222" t="str">
        <f t="shared" ca="1" si="15"/>
        <v>TH</v>
      </c>
      <c r="T112" s="222" t="str">
        <f ca="1">IF(B112="","",IF(ISERROR(MATCH($J112,SorP!$B$1:$B$6230,0)),"",INDIRECT("'SorP'!$A$"&amp;MATCH($J112,SorP!$B$1:$B$6230,0))))</f>
        <v>TH-20</v>
      </c>
      <c r="U112" s="238"/>
      <c r="V112" s="270">
        <f>IF(C112="",NA(),MATCH($B112&amp;$C112,'Smelter Look-up'!$J:$J,0))</f>
        <v>468</v>
      </c>
      <c r="W112" s="271"/>
      <c r="X112" s="271">
        <f t="shared" si="16"/>
        <v>0</v>
      </c>
      <c r="Y112" s="271"/>
      <c r="Z112" s="271"/>
      <c r="AB112" s="273" t="str">
        <f t="shared" si="17"/>
        <v>TinO.M. Manufacturing (Thailand) Co., Ltd.</v>
      </c>
    </row>
    <row r="113" spans="1:28" s="272" customFormat="1" ht="73.8">
      <c r="A113" s="214" t="s">
        <v>716</v>
      </c>
      <c r="B113" s="215" t="s">
        <v>1130</v>
      </c>
      <c r="C113" s="219" t="s">
        <v>2171</v>
      </c>
      <c r="D113" s="278"/>
      <c r="E113" s="215" t="s">
        <v>1108</v>
      </c>
      <c r="F113" s="215" t="s">
        <v>716</v>
      </c>
      <c r="G113" s="215" t="s">
        <v>13459</v>
      </c>
      <c r="H113" s="216">
        <v>0</v>
      </c>
      <c r="I113" s="217" t="s">
        <v>1643</v>
      </c>
      <c r="J113" s="217" t="s">
        <v>1644</v>
      </c>
      <c r="K113" s="268"/>
      <c r="L113" s="268"/>
      <c r="M113" s="268"/>
      <c r="N113" s="268"/>
      <c r="O113" s="268"/>
      <c r="P113" s="218"/>
      <c r="Q113" s="269"/>
      <c r="R113" s="215" t="str">
        <f ca="1">IF(ISERROR($V113),"",OFFSET('Smelter Look-up'!$C$4,$V113-4,0)&amp;"")</f>
        <v>Ohura Precious Metal Industry Co., Ltd.</v>
      </c>
      <c r="S113" s="222" t="str">
        <f t="shared" ca="1" si="15"/>
        <v>JP</v>
      </c>
      <c r="T113" s="222" t="str">
        <f ca="1">IF(B113="","",IF(ISERROR(MATCH($J113,SorP!$B$1:$B$6230,0)),"",INDIRECT("'SorP'!$A$"&amp;MATCH($J113,SorP!$B$1:$B$6230,0))))</f>
        <v>JP-29</v>
      </c>
      <c r="U113" s="238"/>
      <c r="V113" s="270">
        <f>IF(C113="",NA(),MATCH($B113&amp;$C113,'Smelter Look-up'!$J:$J,0))</f>
        <v>193</v>
      </c>
      <c r="W113" s="271"/>
      <c r="X113" s="271">
        <f t="shared" si="16"/>
        <v>0</v>
      </c>
      <c r="Y113" s="271"/>
      <c r="Z113" s="271"/>
      <c r="AB113" s="273" t="str">
        <f t="shared" si="17"/>
        <v>GoldOhura Precious Metal Industry Co., Ltd.</v>
      </c>
    </row>
    <row r="114" spans="1:28" s="272" customFormat="1" ht="135.30000000000001">
      <c r="A114" s="214" t="s">
        <v>717</v>
      </c>
      <c r="B114" s="215" t="s">
        <v>1130</v>
      </c>
      <c r="C114" s="219" t="s">
        <v>2276</v>
      </c>
      <c r="D114" s="278"/>
      <c r="E114" s="215" t="s">
        <v>883</v>
      </c>
      <c r="F114" s="215" t="s">
        <v>717</v>
      </c>
      <c r="G114" s="215" t="s">
        <v>13459</v>
      </c>
      <c r="H114" s="216">
        <v>0</v>
      </c>
      <c r="I114" s="217" t="s">
        <v>1645</v>
      </c>
      <c r="J114" s="217" t="s">
        <v>10245</v>
      </c>
      <c r="K114" s="268"/>
      <c r="L114" s="268"/>
      <c r="M114" s="268"/>
      <c r="N114" s="268"/>
      <c r="O114" s="268"/>
      <c r="P114" s="218"/>
      <c r="Q114" s="269"/>
      <c r="R114" s="215" t="str">
        <f ca="1">IF(ISERROR($V114),"",OFFSET('Smelter Look-up'!$C$4,$V114-4,0)&amp;"")</f>
        <v>OJSC "The Gulidov Krasnoyarsk Non-Ferrous Metals Plant" (OJSC Krastsvetmet)</v>
      </c>
      <c r="S114" s="222" t="str">
        <f t="shared" ca="1" si="15"/>
        <v>RU</v>
      </c>
      <c r="T114" s="222" t="str">
        <f ca="1">IF(B114="","",IF(ISERROR(MATCH($J114,SorP!$B$1:$B$6230,0)),"",INDIRECT("'SorP'!$A$"&amp;MATCH($J114,SorP!$B$1:$B$6230,0))))</f>
        <v>RU-KYA</v>
      </c>
      <c r="U114" s="238"/>
      <c r="V114" s="270">
        <f>IF(C114="",NA(),MATCH($B114&amp;$C114,'Smelter Look-up'!$J:$J,0))</f>
        <v>194</v>
      </c>
      <c r="W114" s="271"/>
      <c r="X114" s="271">
        <f t="shared" si="16"/>
        <v>0</v>
      </c>
      <c r="Y114" s="271"/>
      <c r="Z114" s="271"/>
      <c r="AB114" s="273" t="str">
        <f t="shared" si="17"/>
        <v>GoldOJSC "The Gulidov Krasnoyarsk Non-Ferrous Metals Plant" (OJSC Krastsvetmet)</v>
      </c>
    </row>
    <row r="115" spans="1:28" s="272" customFormat="1" ht="49.2">
      <c r="A115" s="214" t="s">
        <v>780</v>
      </c>
      <c r="B115" s="215" t="s">
        <v>1131</v>
      </c>
      <c r="C115" s="219" t="s">
        <v>14029</v>
      </c>
      <c r="D115" s="278"/>
      <c r="E115" s="215" t="s">
        <v>2461</v>
      </c>
      <c r="F115" s="215" t="s">
        <v>780</v>
      </c>
      <c r="G115" s="215" t="s">
        <v>13459</v>
      </c>
      <c r="H115" s="216">
        <v>0</v>
      </c>
      <c r="I115" s="217" t="s">
        <v>1782</v>
      </c>
      <c r="J115" s="217" t="s">
        <v>1782</v>
      </c>
      <c r="K115" s="268"/>
      <c r="L115" s="268"/>
      <c r="M115" s="268"/>
      <c r="N115" s="268"/>
      <c r="O115" s="268"/>
      <c r="P115" s="218"/>
      <c r="Q115" s="269"/>
      <c r="R115" s="215" t="str">
        <f ca="1">IF(ISERROR($V115),"",OFFSET('Smelter Look-up'!$C$4,$V115-4,0)&amp;"")</f>
        <v>Operaciones Metalurgicas S.A.</v>
      </c>
      <c r="S115" s="222" t="str">
        <f t="shared" ca="1" si="15"/>
        <v>BO</v>
      </c>
      <c r="T115" s="222" t="str">
        <f ca="1">IF(B115="","",IF(ISERROR(MATCH($J115,SorP!$B$1:$B$6230,0)),"",INDIRECT("'SorP'!$A$"&amp;MATCH($J115,SorP!$B$1:$B$6230,0))))</f>
        <v>BO-O</v>
      </c>
      <c r="U115" s="238"/>
      <c r="V115" s="270">
        <f>IF(C115="",NA(),MATCH($B115&amp;$C115,'Smelter Look-up'!$J:$J,0))</f>
        <v>471</v>
      </c>
      <c r="W115" s="271"/>
      <c r="X115" s="271">
        <f t="shared" si="16"/>
        <v>0</v>
      </c>
      <c r="Y115" s="271"/>
      <c r="Z115" s="271"/>
      <c r="AB115" s="273" t="str">
        <f t="shared" si="17"/>
        <v>TinOperaciones Metalurgicas S.A.</v>
      </c>
    </row>
    <row r="116" spans="1:28" s="272" customFormat="1" ht="24.6">
      <c r="A116" s="214" t="s">
        <v>718</v>
      </c>
      <c r="B116" s="215" t="s">
        <v>1130</v>
      </c>
      <c r="C116" s="219" t="s">
        <v>2339</v>
      </c>
      <c r="D116" s="278"/>
      <c r="E116" s="215" t="s">
        <v>1098</v>
      </c>
      <c r="F116" s="215" t="s">
        <v>718</v>
      </c>
      <c r="G116" s="215" t="s">
        <v>13459</v>
      </c>
      <c r="H116" s="216">
        <v>0</v>
      </c>
      <c r="I116" s="217" t="s">
        <v>1647</v>
      </c>
      <c r="J116" s="217" t="s">
        <v>1556</v>
      </c>
      <c r="K116" s="268"/>
      <c r="L116" s="268"/>
      <c r="M116" s="268"/>
      <c r="N116" s="268"/>
      <c r="O116" s="268"/>
      <c r="P116" s="218"/>
      <c r="Q116" s="269"/>
      <c r="R116" s="215" t="str">
        <f ca="1">IF(ISERROR($V116),"",OFFSET('Smelter Look-up'!$C$4,$V116-4,0)&amp;"")</f>
        <v>PAMP S.A.</v>
      </c>
      <c r="S116" s="222" t="str">
        <f t="shared" ca="1" si="15"/>
        <v>CH</v>
      </c>
      <c r="T116" s="222" t="str">
        <f ca="1">IF(B116="","",IF(ISERROR(MATCH($J116,SorP!$B$1:$B$6230,0)),"",INDIRECT("'SorP'!$A$"&amp;MATCH($J116,SorP!$B$1:$B$6230,0))))</f>
        <v>CH-TI</v>
      </c>
      <c r="U116" s="238"/>
      <c r="V116" s="270">
        <f>IF(C116="",NA(),MATCH($B116&amp;$C116,'Smelter Look-up'!$J:$J,0))</f>
        <v>197</v>
      </c>
      <c r="W116" s="271"/>
      <c r="X116" s="271">
        <f t="shared" si="16"/>
        <v>0</v>
      </c>
      <c r="Y116" s="271"/>
      <c r="Z116" s="271"/>
      <c r="AB116" s="273" t="str">
        <f t="shared" si="17"/>
        <v>GoldPAMP S.A.</v>
      </c>
    </row>
    <row r="117" spans="1:28" s="272" customFormat="1" ht="73.8">
      <c r="A117" s="214" t="s">
        <v>720</v>
      </c>
      <c r="B117" s="215" t="s">
        <v>1130</v>
      </c>
      <c r="C117" s="219" t="s">
        <v>912</v>
      </c>
      <c r="D117" s="278"/>
      <c r="E117" s="215" t="s">
        <v>883</v>
      </c>
      <c r="F117" s="215" t="s">
        <v>720</v>
      </c>
      <c r="G117" s="215" t="s">
        <v>13459</v>
      </c>
      <c r="H117" s="216">
        <v>0</v>
      </c>
      <c r="I117" s="217" t="s">
        <v>1648</v>
      </c>
      <c r="J117" s="217" t="s">
        <v>10105</v>
      </c>
      <c r="K117" s="268"/>
      <c r="L117" s="268"/>
      <c r="M117" s="268"/>
      <c r="N117" s="268"/>
      <c r="O117" s="268"/>
      <c r="P117" s="218"/>
      <c r="Q117" s="269"/>
      <c r="R117" s="215" t="str">
        <f ca="1">IF(ISERROR($V117),"",OFFSET('Smelter Look-up'!$C$4,$V117-4,0)&amp;"")</f>
        <v>Prioksky Plant of Non-Ferrous Metals</v>
      </c>
      <c r="S117" s="222" t="str">
        <f t="shared" ca="1" si="15"/>
        <v>RU</v>
      </c>
      <c r="T117" s="222" t="str">
        <f ca="1">IF(B117="","",IF(ISERROR(MATCH($J117,SorP!$B$1:$B$6230,0)),"",INDIRECT("'SorP'!$A$"&amp;MATCH($J117,SorP!$B$1:$B$6230,0))))</f>
        <v>RU-RYA</v>
      </c>
      <c r="U117" s="238"/>
      <c r="V117" s="270">
        <f>IF(C117="",NA(),MATCH($B117&amp;$C117,'Smelter Look-up'!$J:$J,0))</f>
        <v>204</v>
      </c>
      <c r="W117" s="271"/>
      <c r="X117" s="271">
        <f t="shared" si="16"/>
        <v>0</v>
      </c>
      <c r="Y117" s="271"/>
      <c r="Z117" s="271"/>
      <c r="AB117" s="273" t="str">
        <f t="shared" si="17"/>
        <v>GoldPrioksky Plant of Non-Ferrous Metals</v>
      </c>
    </row>
    <row r="118" spans="1:28" s="272" customFormat="1" ht="73.8">
      <c r="A118" s="214" t="s">
        <v>721</v>
      </c>
      <c r="B118" s="215" t="s">
        <v>1130</v>
      </c>
      <c r="C118" s="219" t="s">
        <v>1232</v>
      </c>
      <c r="D118" s="278"/>
      <c r="E118" s="215" t="s">
        <v>1105</v>
      </c>
      <c r="F118" s="215" t="s">
        <v>721</v>
      </c>
      <c r="G118" s="215" t="s">
        <v>13459</v>
      </c>
      <c r="H118" s="216">
        <v>0</v>
      </c>
      <c r="I118" s="217" t="s">
        <v>1649</v>
      </c>
      <c r="J118" s="217" t="s">
        <v>6073</v>
      </c>
      <c r="K118" s="268"/>
      <c r="L118" s="268"/>
      <c r="M118" s="268"/>
      <c r="N118" s="268"/>
      <c r="O118" s="268"/>
      <c r="P118" s="218"/>
      <c r="Q118" s="269"/>
      <c r="R118" s="215" t="str">
        <f ca="1">IF(ISERROR($V118),"",OFFSET('Smelter Look-up'!$C$4,$V118-4,0)&amp;"")</f>
        <v>PT Aneka Tambang (Persero) Tbk</v>
      </c>
      <c r="S118" s="222" t="str">
        <f t="shared" ca="1" si="15"/>
        <v>ID</v>
      </c>
      <c r="T118" s="222" t="str">
        <f ca="1">IF(B118="","",IF(ISERROR(MATCH($J118,SorP!$B$1:$B$6230,0)),"",INDIRECT("'SorP'!$A$"&amp;MATCH($J118,SorP!$B$1:$B$6230,0))))</f>
        <v>ID-JK</v>
      </c>
      <c r="U118" s="238"/>
      <c r="V118" s="270">
        <f>IF(C118="",NA(),MATCH($B118&amp;$C118,'Smelter Look-up'!$J:$J,0))</f>
        <v>206</v>
      </c>
      <c r="W118" s="271"/>
      <c r="X118" s="271">
        <f t="shared" si="16"/>
        <v>0</v>
      </c>
      <c r="Y118" s="271"/>
      <c r="Z118" s="271"/>
      <c r="AB118" s="273" t="str">
        <f t="shared" si="17"/>
        <v>GoldPT Aneka Tambang (Persero) Tbk</v>
      </c>
    </row>
    <row r="119" spans="1:28" s="272" customFormat="1" ht="49.2">
      <c r="A119" s="214" t="s">
        <v>782</v>
      </c>
      <c r="B119" s="215" t="s">
        <v>1131</v>
      </c>
      <c r="C119" s="219" t="s">
        <v>627</v>
      </c>
      <c r="D119" s="278"/>
      <c r="E119" s="215" t="s">
        <v>1105</v>
      </c>
      <c r="F119" s="215" t="s">
        <v>782</v>
      </c>
      <c r="G119" s="215" t="s">
        <v>13459</v>
      </c>
      <c r="H119" s="216">
        <v>0</v>
      </c>
      <c r="I119" s="217" t="s">
        <v>1780</v>
      </c>
      <c r="J119" s="217" t="s">
        <v>13066</v>
      </c>
      <c r="K119" s="268"/>
      <c r="L119" s="268"/>
      <c r="M119" s="268"/>
      <c r="N119" s="268"/>
      <c r="O119" s="268"/>
      <c r="P119" s="218"/>
      <c r="Q119" s="269"/>
      <c r="R119" s="215" t="str">
        <f ca="1">IF(ISERROR($V119),"",OFFSET('Smelter Look-up'!$C$4,$V119-4,0)&amp;"")</f>
        <v>PT Mitra Stania Prima</v>
      </c>
      <c r="S119" s="222" t="str">
        <f t="shared" ca="1" si="15"/>
        <v>ID</v>
      </c>
      <c r="T119" s="222" t="str">
        <f ca="1">IF(B119="","",IF(ISERROR(MATCH($J119,SorP!$B$1:$B$6230,0)),"",INDIRECT("'SorP'!$A$"&amp;MATCH($J119,SorP!$B$1:$B$6230,0))))</f>
        <v>ID-BB</v>
      </c>
      <c r="U119" s="238"/>
      <c r="V119" s="270">
        <f>IF(C119="",NA(),MATCH($B119&amp;$C119,'Smelter Look-up'!$J:$J,0))</f>
        <v>482</v>
      </c>
      <c r="W119" s="271"/>
      <c r="X119" s="271">
        <f t="shared" si="16"/>
        <v>0</v>
      </c>
      <c r="Y119" s="271"/>
      <c r="Z119" s="271"/>
      <c r="AB119" s="273" t="str">
        <f t="shared" si="17"/>
        <v>TinPT Mitra Stania Prima</v>
      </c>
    </row>
    <row r="120" spans="1:28" s="272" customFormat="1" ht="49.2">
      <c r="A120" s="214" t="s">
        <v>783</v>
      </c>
      <c r="B120" s="215" t="s">
        <v>1131</v>
      </c>
      <c r="C120" s="219" t="s">
        <v>2173</v>
      </c>
      <c r="D120" s="278"/>
      <c r="E120" s="215" t="s">
        <v>1105</v>
      </c>
      <c r="F120" s="215" t="s">
        <v>783</v>
      </c>
      <c r="G120" s="215" t="s">
        <v>13459</v>
      </c>
      <c r="H120" s="216">
        <v>0</v>
      </c>
      <c r="I120" s="217" t="s">
        <v>1780</v>
      </c>
      <c r="J120" s="217" t="s">
        <v>13066</v>
      </c>
      <c r="K120" s="268"/>
      <c r="L120" s="268"/>
      <c r="M120" s="268"/>
      <c r="N120" s="268"/>
      <c r="O120" s="268"/>
      <c r="P120" s="218"/>
      <c r="Q120" s="269"/>
      <c r="R120" s="215" t="str">
        <f ca="1">IF(ISERROR($V120),"",OFFSET('Smelter Look-up'!$C$4,$V120-4,0)&amp;"")</f>
        <v>PT Refined Bangka Tin</v>
      </c>
      <c r="S120" s="222" t="str">
        <f t="shared" ca="1" si="15"/>
        <v>ID</v>
      </c>
      <c r="T120" s="222" t="str">
        <f ca="1">IF(B120="","",IF(ISERROR(MATCH($J120,SorP!$B$1:$B$6230,0)),"",INDIRECT("'SorP'!$A$"&amp;MATCH($J120,SorP!$B$1:$B$6230,0))))</f>
        <v>ID-BB</v>
      </c>
      <c r="U120" s="238"/>
      <c r="V120" s="270">
        <f>IF(C120="",NA(),MATCH($B120&amp;$C120,'Smelter Look-up'!$J:$J,0))</f>
        <v>487</v>
      </c>
      <c r="W120" s="271"/>
      <c r="X120" s="271">
        <f t="shared" si="16"/>
        <v>0</v>
      </c>
      <c r="Y120" s="271"/>
      <c r="Z120" s="271"/>
      <c r="AB120" s="273" t="str">
        <f t="shared" si="17"/>
        <v>TinPT Refined Bangka Tin</v>
      </c>
    </row>
    <row r="121" spans="1:28" s="272" customFormat="1" ht="49.2">
      <c r="A121" s="214" t="s">
        <v>804</v>
      </c>
      <c r="B121" s="215" t="s">
        <v>1131</v>
      </c>
      <c r="C121" s="219" t="s">
        <v>14026</v>
      </c>
      <c r="D121" s="278"/>
      <c r="E121" s="215" t="s">
        <v>1105</v>
      </c>
      <c r="F121" s="215" t="s">
        <v>804</v>
      </c>
      <c r="G121" s="215" t="s">
        <v>13459</v>
      </c>
      <c r="H121" s="216">
        <v>0</v>
      </c>
      <c r="I121" s="217" t="s">
        <v>1806</v>
      </c>
      <c r="J121" s="217" t="s">
        <v>6135</v>
      </c>
      <c r="K121" s="268"/>
      <c r="L121" s="268"/>
      <c r="M121" s="268"/>
      <c r="N121" s="268"/>
      <c r="O121" s="268"/>
      <c r="P121" s="218"/>
      <c r="Q121" s="269"/>
      <c r="R121" s="215" t="str">
        <f ca="1">IF(ISERROR($V121),"",OFFSET('Smelter Look-up'!$C$4,$V121-4,0)&amp;"")</f>
        <v>PT Timah Tbk Kundur</v>
      </c>
      <c r="S121" s="222" t="str">
        <f t="shared" ca="1" si="15"/>
        <v>ID</v>
      </c>
      <c r="T121" s="222" t="str">
        <f ca="1">IF(B121="","",IF(ISERROR(MATCH($J121,SorP!$B$1:$B$6230,0)),"",INDIRECT("'SorP'!$A$"&amp;MATCH($J121,SorP!$B$1:$B$6230,0))))</f>
        <v>ID-RI</v>
      </c>
      <c r="U121" s="238"/>
      <c r="V121" s="270">
        <f>IF(C121="",NA(),MATCH($B121&amp;$C121,'Smelter Look-up'!$J:$J,0))</f>
        <v>491</v>
      </c>
      <c r="W121" s="271"/>
      <c r="X121" s="271">
        <f t="shared" si="16"/>
        <v>0</v>
      </c>
      <c r="Y121" s="271"/>
      <c r="Z121" s="271"/>
      <c r="AB121" s="273" t="str">
        <f t="shared" si="17"/>
        <v>TinPT Timah Tbk Kundur</v>
      </c>
    </row>
    <row r="122" spans="1:28" s="272" customFormat="1" ht="49.2">
      <c r="A122" s="214" t="s">
        <v>784</v>
      </c>
      <c r="B122" s="215" t="s">
        <v>1131</v>
      </c>
      <c r="C122" s="219" t="s">
        <v>14025</v>
      </c>
      <c r="D122" s="278"/>
      <c r="E122" s="215" t="s">
        <v>1105</v>
      </c>
      <c r="F122" s="215" t="s">
        <v>784</v>
      </c>
      <c r="G122" s="215" t="s">
        <v>13459</v>
      </c>
      <c r="H122" s="216">
        <v>0</v>
      </c>
      <c r="I122" s="217" t="s">
        <v>1808</v>
      </c>
      <c r="J122" s="217" t="s">
        <v>13066</v>
      </c>
      <c r="K122" s="268"/>
      <c r="L122" s="268"/>
      <c r="M122" s="268"/>
      <c r="N122" s="268"/>
      <c r="O122" s="268"/>
      <c r="P122" s="218"/>
      <c r="Q122" s="269"/>
      <c r="R122" s="215" t="str">
        <f ca="1">IF(ISERROR($V122),"",OFFSET('Smelter Look-up'!$C$4,$V122-4,0)&amp;"")</f>
        <v>PT Timah Tbk Mentok</v>
      </c>
      <c r="S122" s="222" t="str">
        <f t="shared" ca="1" si="15"/>
        <v>ID</v>
      </c>
      <c r="T122" s="222" t="str">
        <f ca="1">IF(B122="","",IF(ISERROR(MATCH($J122,SorP!$B$1:$B$6230,0)),"",INDIRECT("'SorP'!$A$"&amp;MATCH($J122,SorP!$B$1:$B$6230,0))))</f>
        <v>ID-BB</v>
      </c>
      <c r="U122" s="238"/>
      <c r="V122" s="270">
        <f>IF(C122="",NA(),MATCH($B122&amp;$C122,'Smelter Look-up'!$J:$J,0))</f>
        <v>492</v>
      </c>
      <c r="W122" s="271"/>
      <c r="X122" s="271">
        <f t="shared" si="16"/>
        <v>0</v>
      </c>
      <c r="Y122" s="271"/>
      <c r="Z122" s="271"/>
      <c r="AB122" s="273" t="str">
        <f t="shared" si="17"/>
        <v>TinPT Timah Tbk Mentok</v>
      </c>
    </row>
    <row r="123" spans="1:28" s="272" customFormat="1" ht="36.9">
      <c r="A123" s="214" t="s">
        <v>722</v>
      </c>
      <c r="B123" s="215" t="s">
        <v>1130</v>
      </c>
      <c r="C123" s="219" t="s">
        <v>12644</v>
      </c>
      <c r="D123" s="278"/>
      <c r="E123" s="215" t="s">
        <v>1098</v>
      </c>
      <c r="F123" s="215" t="s">
        <v>722</v>
      </c>
      <c r="G123" s="215" t="s">
        <v>13459</v>
      </c>
      <c r="H123" s="216">
        <v>0</v>
      </c>
      <c r="I123" s="217" t="s">
        <v>1650</v>
      </c>
      <c r="J123" s="217" t="s">
        <v>1630</v>
      </c>
      <c r="K123" s="268"/>
      <c r="L123" s="268"/>
      <c r="M123" s="268"/>
      <c r="N123" s="268"/>
      <c r="O123" s="268"/>
      <c r="P123" s="218"/>
      <c r="Q123" s="269"/>
      <c r="R123" s="215" t="str">
        <f ca="1">IF(ISERROR($V123),"",OFFSET('Smelter Look-up'!$C$4,$V123-4,0)&amp;"")</f>
        <v>PX Precinox S.A.</v>
      </c>
      <c r="S123" s="222" t="str">
        <f t="shared" ca="1" si="15"/>
        <v>CH</v>
      </c>
      <c r="T123" s="222" t="str">
        <f ca="1">IF(B123="","",IF(ISERROR(MATCH($J123,SorP!$B$1:$B$6230,0)),"",INDIRECT("'SorP'!$A$"&amp;MATCH($J123,SorP!$B$1:$B$6230,0))))</f>
        <v>CH-NE</v>
      </c>
      <c r="U123" s="238"/>
      <c r="V123" s="270">
        <f>IF(C123="",NA(),MATCH($B123&amp;$C123,'Smelter Look-up'!$J:$J,0))</f>
        <v>207</v>
      </c>
      <c r="W123" s="271"/>
      <c r="X123" s="271">
        <f t="shared" si="16"/>
        <v>0</v>
      </c>
      <c r="Y123" s="271"/>
      <c r="Z123" s="271"/>
      <c r="AB123" s="273" t="str">
        <f t="shared" si="17"/>
        <v>GoldPX Precinox S.A.</v>
      </c>
    </row>
    <row r="124" spans="1:28" s="272" customFormat="1" ht="36.9">
      <c r="A124" s="214" t="s">
        <v>760</v>
      </c>
      <c r="B124" s="215" t="s">
        <v>1132</v>
      </c>
      <c r="C124" s="219" t="s">
        <v>817</v>
      </c>
      <c r="D124" s="278"/>
      <c r="E124" s="215" t="s">
        <v>2463</v>
      </c>
      <c r="F124" s="215" t="s">
        <v>760</v>
      </c>
      <c r="G124" s="215" t="s">
        <v>13459</v>
      </c>
      <c r="H124" s="216">
        <v>0</v>
      </c>
      <c r="I124" s="217" t="s">
        <v>14056</v>
      </c>
      <c r="J124" s="217" t="s">
        <v>2282</v>
      </c>
      <c r="K124" s="268"/>
      <c r="L124" s="268"/>
      <c r="M124" s="268"/>
      <c r="N124" s="268"/>
      <c r="O124" s="268"/>
      <c r="P124" s="218"/>
      <c r="Q124" s="269"/>
      <c r="R124" s="215" t="str">
        <f ca="1">IF(ISERROR($V124),"",OFFSET('Smelter Look-up'!$C$4,$V124-4,0)&amp;"")</f>
        <v>QuantumClean</v>
      </c>
      <c r="S124" s="222" t="str">
        <f t="shared" ca="1" si="15"/>
        <v>US</v>
      </c>
      <c r="T124" s="222" t="str">
        <f ca="1">IF(B124="","",IF(ISERROR(MATCH($J124,SorP!$B$1:$B$6230,0)),"",INDIRECT("'SorP'!$A$"&amp;MATCH($J124,SorP!$B$1:$B$6230,0))))</f>
        <v>US-TX</v>
      </c>
      <c r="U124" s="238"/>
      <c r="V124" s="270">
        <f>IF(C124="",NA(),MATCH($B124&amp;$C124,'Smelter Look-up'!$J:$J,0))</f>
        <v>357</v>
      </c>
      <c r="W124" s="271"/>
      <c r="X124" s="271">
        <f t="shared" si="16"/>
        <v>0</v>
      </c>
      <c r="Y124" s="271"/>
      <c r="Z124" s="271"/>
      <c r="AB124" s="273" t="str">
        <f t="shared" si="17"/>
        <v>TantalumQuantumClean</v>
      </c>
    </row>
    <row r="125" spans="1:28" s="272" customFormat="1" ht="61.5">
      <c r="A125" s="214" t="s">
        <v>723</v>
      </c>
      <c r="B125" s="215" t="s">
        <v>1130</v>
      </c>
      <c r="C125" s="219" t="s">
        <v>2174</v>
      </c>
      <c r="D125" s="278"/>
      <c r="E125" s="215" t="s">
        <v>893</v>
      </c>
      <c r="F125" s="215" t="s">
        <v>723</v>
      </c>
      <c r="G125" s="215" t="s">
        <v>13459</v>
      </c>
      <c r="H125" s="216">
        <v>0</v>
      </c>
      <c r="I125" s="217" t="s">
        <v>1651</v>
      </c>
      <c r="J125" s="217" t="s">
        <v>1652</v>
      </c>
      <c r="K125" s="268"/>
      <c r="L125" s="268"/>
      <c r="M125" s="268"/>
      <c r="N125" s="268"/>
      <c r="O125" s="268"/>
      <c r="P125" s="218"/>
      <c r="Q125" s="269"/>
      <c r="R125" s="215" t="str">
        <f ca="1">IF(ISERROR($V125),"",OFFSET('Smelter Look-up'!$C$4,$V125-4,0)&amp;"")</f>
        <v>Rand Refinery (Pty) Ltd.</v>
      </c>
      <c r="S125" s="222" t="str">
        <f t="shared" ca="1" si="15"/>
        <v>ZA</v>
      </c>
      <c r="T125" s="222" t="str">
        <f ca="1">IF(B125="","",IF(ISERROR(MATCH($J125,SorP!$B$1:$B$6230,0)),"",INDIRECT("'SorP'!$A$"&amp;MATCH($J125,SorP!$B$1:$B$6230,0))))</f>
        <v>ZA-GT</v>
      </c>
      <c r="U125" s="238"/>
      <c r="V125" s="270">
        <f>IF(C125="",NA(),MATCH($B125&amp;$C125,'Smelter Look-up'!$J:$J,0))</f>
        <v>210</v>
      </c>
      <c r="W125" s="271"/>
      <c r="X125" s="271">
        <f t="shared" si="16"/>
        <v>0</v>
      </c>
      <c r="Y125" s="271"/>
      <c r="Z125" s="271"/>
      <c r="AB125" s="273" t="str">
        <f t="shared" si="17"/>
        <v>GoldRand Refinery (Pty) Ltd.</v>
      </c>
    </row>
    <row r="126" spans="1:28" s="272" customFormat="1" ht="159.9">
      <c r="A126" s="214" t="s">
        <v>761</v>
      </c>
      <c r="B126" s="215" t="s">
        <v>1132</v>
      </c>
      <c r="C126" s="219" t="s">
        <v>15621</v>
      </c>
      <c r="D126" s="278"/>
      <c r="E126" s="215" t="s">
        <v>1100</v>
      </c>
      <c r="F126" s="215" t="s">
        <v>761</v>
      </c>
      <c r="G126" s="215" t="s">
        <v>13459</v>
      </c>
      <c r="H126" s="216">
        <v>0</v>
      </c>
      <c r="I126" s="217" t="s">
        <v>1744</v>
      </c>
      <c r="J126" s="217" t="s">
        <v>13846</v>
      </c>
      <c r="K126" s="268"/>
      <c r="L126" s="268"/>
      <c r="M126" s="268"/>
      <c r="N126" s="268"/>
      <c r="O126" s="268"/>
      <c r="P126" s="218"/>
      <c r="Q126" s="269"/>
      <c r="R126" s="215" t="str">
        <f ca="1">IF(ISERROR($V126),"",OFFSET('Smelter Look-up'!$C$4,$V126-4,0)&amp;"")</f>
        <v/>
      </c>
      <c r="S126" s="222" t="str">
        <f t="shared" ca="1" si="15"/>
        <v>CN</v>
      </c>
      <c r="T126" s="222" t="str">
        <f ca="1">IF(B126="","",IF(ISERROR(MATCH($J126,SorP!$B$1:$B$6230,0)),"",INDIRECT("'SorP'!$A$"&amp;MATCH($J126,SorP!$B$1:$B$6230,0))))</f>
        <v>CN-HN</v>
      </c>
      <c r="U126" s="238"/>
      <c r="V126" s="270" t="e">
        <f>IF(C126="",NA(),MATCH($B126&amp;$C126,'Smelter Look-up'!$J:$J,0))</f>
        <v>#N/A</v>
      </c>
      <c r="W126" s="271"/>
      <c r="X126" s="271">
        <f t="shared" si="16"/>
        <v>0</v>
      </c>
      <c r="Y126" s="271"/>
      <c r="Z126" s="271"/>
      <c r="AB126" s="273" t="str">
        <f t="shared" si="17"/>
        <v>TantalumRFH Tantalum Smeltery Co., Ltd./Yanling Jincheng Tantalum &amp; Niobium Co., Ltd.</v>
      </c>
    </row>
    <row r="127" spans="1:28" s="272" customFormat="1" ht="49.2">
      <c r="A127" s="214" t="s">
        <v>724</v>
      </c>
      <c r="B127" s="215" t="s">
        <v>1130</v>
      </c>
      <c r="C127" s="219" t="s">
        <v>913</v>
      </c>
      <c r="D127" s="278"/>
      <c r="E127" s="215" t="s">
        <v>1097</v>
      </c>
      <c r="F127" s="215" t="s">
        <v>724</v>
      </c>
      <c r="G127" s="215" t="s">
        <v>13459</v>
      </c>
      <c r="H127" s="216">
        <v>0</v>
      </c>
      <c r="I127" s="217" t="s">
        <v>1653</v>
      </c>
      <c r="J127" s="217" t="s">
        <v>1610</v>
      </c>
      <c r="K127" s="268"/>
      <c r="L127" s="268"/>
      <c r="M127" s="268"/>
      <c r="N127" s="268"/>
      <c r="O127" s="268"/>
      <c r="P127" s="218"/>
      <c r="Q127" s="269"/>
      <c r="R127" s="215" t="str">
        <f ca="1">IF(ISERROR($V127),"",OFFSET('Smelter Look-up'!$C$4,$V127-4,0)&amp;"")</f>
        <v>Royal Canadian Mint</v>
      </c>
      <c r="S127" s="222" t="str">
        <f t="shared" ca="1" si="15"/>
        <v>CA</v>
      </c>
      <c r="T127" s="222" t="str">
        <f ca="1">IF(B127="","",IF(ISERROR(MATCH($J127,SorP!$B$1:$B$6230,0)),"",INDIRECT("'SorP'!$A$"&amp;MATCH($J127,SorP!$B$1:$B$6230,0))))</f>
        <v>CA-ON</v>
      </c>
      <c r="U127" s="238"/>
      <c r="V127" s="270">
        <f>IF(C127="",NA(),MATCH($B127&amp;$C127,'Smelter Look-up'!$J:$J,0))</f>
        <v>215</v>
      </c>
      <c r="W127" s="271"/>
      <c r="X127" s="271">
        <f t="shared" si="16"/>
        <v>0</v>
      </c>
      <c r="Y127" s="271"/>
      <c r="Z127" s="271"/>
      <c r="AB127" s="273" t="str">
        <f t="shared" si="17"/>
        <v>GoldRoyal Canadian Mint</v>
      </c>
    </row>
    <row r="128" spans="1:28" s="272" customFormat="1" ht="24.6">
      <c r="A128" s="214" t="s">
        <v>786</v>
      </c>
      <c r="B128" s="215" t="s">
        <v>1131</v>
      </c>
      <c r="C128" s="219" t="s">
        <v>785</v>
      </c>
      <c r="D128" s="278"/>
      <c r="E128" s="215" t="s">
        <v>2462</v>
      </c>
      <c r="F128" s="215" t="s">
        <v>786</v>
      </c>
      <c r="G128" s="215" t="s">
        <v>13459</v>
      </c>
      <c r="H128" s="216">
        <v>0</v>
      </c>
      <c r="I128" s="217" t="s">
        <v>14059</v>
      </c>
      <c r="J128" s="217" t="s">
        <v>1711</v>
      </c>
      <c r="K128" s="268"/>
      <c r="L128" s="268"/>
      <c r="M128" s="268"/>
      <c r="N128" s="268"/>
      <c r="O128" s="268"/>
      <c r="P128" s="218"/>
      <c r="Q128" s="269"/>
      <c r="R128" s="215" t="str">
        <f ca="1">IF(ISERROR($V128),"",OFFSET('Smelter Look-up'!$C$4,$V128-4,0)&amp;"")</f>
        <v>Rui Da Hung</v>
      </c>
      <c r="S128" s="222" t="str">
        <f t="shared" ca="1" si="15"/>
        <v>TW</v>
      </c>
      <c r="T128" s="222" t="str">
        <f ca="1">IF(B128="","",IF(ISERROR(MATCH($J128,SorP!$B$1:$B$6230,0)),"",INDIRECT("'SorP'!$A$"&amp;MATCH($J128,SorP!$B$1:$B$6230,0))))</f>
        <v>TW-TAO</v>
      </c>
      <c r="U128" s="238"/>
      <c r="V128" s="270">
        <f>IF(C128="",NA(),MATCH($B128&amp;$C128,'Smelter Look-up'!$J:$J,0))</f>
        <v>497</v>
      </c>
      <c r="W128" s="271"/>
      <c r="X128" s="271">
        <f t="shared" si="16"/>
        <v>0</v>
      </c>
      <c r="Y128" s="271"/>
      <c r="Z128" s="271"/>
      <c r="AB128" s="273" t="str">
        <f t="shared" si="17"/>
        <v>TinRui Da Hung</v>
      </c>
    </row>
    <row r="129" spans="1:28" s="272" customFormat="1" ht="49.2">
      <c r="A129" s="214" t="s">
        <v>1409</v>
      </c>
      <c r="B129" s="215" t="s">
        <v>1130</v>
      </c>
      <c r="C129" s="219" t="s">
        <v>1408</v>
      </c>
      <c r="D129" s="278"/>
      <c r="E129" s="215" t="s">
        <v>1111</v>
      </c>
      <c r="F129" s="215" t="s">
        <v>1409</v>
      </c>
      <c r="G129" s="215" t="s">
        <v>13459</v>
      </c>
      <c r="H129" s="216">
        <v>0</v>
      </c>
      <c r="I129" s="217" t="s">
        <v>1578</v>
      </c>
      <c r="J129" s="217" t="s">
        <v>13080</v>
      </c>
      <c r="K129" s="268"/>
      <c r="L129" s="268"/>
      <c r="M129" s="268"/>
      <c r="N129" s="268"/>
      <c r="O129" s="268"/>
      <c r="P129" s="218"/>
      <c r="Q129" s="269"/>
      <c r="R129" s="215" t="str">
        <f ca="1">IF(ISERROR($V129),"",OFFSET('Smelter Look-up'!$C$4,$V129-4,0)&amp;"")</f>
        <v>Samduck Precious Metals</v>
      </c>
      <c r="S129" s="222" t="str">
        <f t="shared" ca="1" si="15"/>
        <v>KR</v>
      </c>
      <c r="T129" s="222" t="str">
        <f ca="1">IF(B129="","",IF(ISERROR(MATCH($J129,SorP!$B$1:$B$6230,0)),"",INDIRECT("'SorP'!$A$"&amp;MATCH($J129,SorP!$B$1:$B$6230,0))))</f>
        <v>KR-28</v>
      </c>
      <c r="U129" s="238"/>
      <c r="V129" s="270">
        <f>IF(C129="",NA(),MATCH($B129&amp;$C129,'Smelter Look-up'!$J:$J,0))</f>
        <v>223</v>
      </c>
      <c r="W129" s="271"/>
      <c r="X129" s="271">
        <f t="shared" si="16"/>
        <v>0</v>
      </c>
      <c r="Y129" s="271"/>
      <c r="Z129" s="271"/>
      <c r="AB129" s="273" t="str">
        <f t="shared" si="17"/>
        <v>GoldSamduck Precious Metals</v>
      </c>
    </row>
    <row r="130" spans="1:28" s="272" customFormat="1" ht="61.5">
      <c r="A130" s="214" t="s">
        <v>727</v>
      </c>
      <c r="B130" s="215" t="s">
        <v>1130</v>
      </c>
      <c r="C130" s="219" t="s">
        <v>12645</v>
      </c>
      <c r="D130" s="278"/>
      <c r="E130" s="215" t="s">
        <v>1102</v>
      </c>
      <c r="F130" s="215" t="s">
        <v>727</v>
      </c>
      <c r="G130" s="215" t="s">
        <v>13459</v>
      </c>
      <c r="H130" s="216">
        <v>0</v>
      </c>
      <c r="I130" s="217" t="s">
        <v>1659</v>
      </c>
      <c r="J130" s="217" t="s">
        <v>4719</v>
      </c>
      <c r="K130" s="268"/>
      <c r="L130" s="268"/>
      <c r="M130" s="268"/>
      <c r="N130" s="268"/>
      <c r="O130" s="268"/>
      <c r="P130" s="218"/>
      <c r="Q130" s="269"/>
      <c r="R130" s="215" t="str">
        <f ca="1">IF(ISERROR($V130),"",OFFSET('Smelter Look-up'!$C$4,$V130-4,0)&amp;"")</f>
        <v>SEMPSA Joyeria Plateria S.A.</v>
      </c>
      <c r="S130" s="222" t="str">
        <f t="shared" ca="1" si="15"/>
        <v>ES</v>
      </c>
      <c r="T130" s="222" t="str">
        <f ca="1">IF(B130="","",IF(ISERROR(MATCH($J130,SorP!$B$1:$B$6230,0)),"",INDIRECT("'SorP'!$A$"&amp;MATCH($J130,SorP!$B$1:$B$6230,0))))</f>
        <v>ES-MD</v>
      </c>
      <c r="U130" s="238"/>
      <c r="V130" s="270">
        <f>IF(C130="",NA(),MATCH($B130&amp;$C130,'Smelter Look-up'!$J:$J,0))</f>
        <v>229</v>
      </c>
      <c r="W130" s="271"/>
      <c r="X130" s="271">
        <f t="shared" si="16"/>
        <v>0</v>
      </c>
      <c r="Y130" s="271"/>
      <c r="Z130" s="271"/>
      <c r="AB130" s="273" t="str">
        <f t="shared" si="17"/>
        <v>GoldSEMPSA Joyeria Plateria S.A.</v>
      </c>
    </row>
    <row r="131" spans="1:28" s="272" customFormat="1" ht="86.1">
      <c r="A131" s="214" t="s">
        <v>728</v>
      </c>
      <c r="B131" s="215" t="s">
        <v>1130</v>
      </c>
      <c r="C131" s="219" t="s">
        <v>2176</v>
      </c>
      <c r="D131" s="278"/>
      <c r="E131" s="215" t="s">
        <v>1100</v>
      </c>
      <c r="F131" s="215" t="s">
        <v>728</v>
      </c>
      <c r="G131" s="215" t="s">
        <v>13459</v>
      </c>
      <c r="H131" s="216">
        <v>0</v>
      </c>
      <c r="I131" s="217" t="s">
        <v>1592</v>
      </c>
      <c r="J131" s="217" t="s">
        <v>13843</v>
      </c>
      <c r="K131" s="268"/>
      <c r="L131" s="268"/>
      <c r="M131" s="268"/>
      <c r="N131" s="268"/>
      <c r="O131" s="268"/>
      <c r="P131" s="218"/>
      <c r="Q131" s="269"/>
      <c r="R131" s="215" t="str">
        <f ca="1">IF(ISERROR($V131),"",OFFSET('Smelter Look-up'!$C$4,$V131-4,0)&amp;"")</f>
        <v>Shandong Zhaojin Gold &amp; Silver Refinery Co., Ltd.</v>
      </c>
      <c r="S131" s="222" t="str">
        <f t="shared" ca="1" si="15"/>
        <v>CN</v>
      </c>
      <c r="T131" s="222" t="str">
        <f ca="1">IF(B131="","",IF(ISERROR(MATCH($J131,SorP!$B$1:$B$6230,0)),"",INDIRECT("'SorP'!$A$"&amp;MATCH($J131,SorP!$B$1:$B$6230,0))))</f>
        <v>CN-SD</v>
      </c>
      <c r="U131" s="238"/>
      <c r="V131" s="270">
        <f>IF(C131="",NA(),MATCH($B131&amp;$C131,'Smelter Look-up'!$J:$J,0))</f>
        <v>241</v>
      </c>
      <c r="W131" s="271"/>
      <c r="X131" s="271">
        <f t="shared" si="16"/>
        <v>0</v>
      </c>
      <c r="Y131" s="271"/>
      <c r="Z131" s="271"/>
      <c r="AB131" s="273" t="str">
        <f t="shared" si="17"/>
        <v>GoldShandong Zhaojin Gold &amp; Silver Refinery Co., Ltd.</v>
      </c>
    </row>
    <row r="132" spans="1:28" s="272" customFormat="1" ht="73.8">
      <c r="A132" s="214" t="s">
        <v>1392</v>
      </c>
      <c r="B132" s="215" t="s">
        <v>1130</v>
      </c>
      <c r="C132" s="219" t="s">
        <v>2177</v>
      </c>
      <c r="D132" s="278"/>
      <c r="E132" s="215" t="s">
        <v>1100</v>
      </c>
      <c r="F132" s="215" t="s">
        <v>1392</v>
      </c>
      <c r="G132" s="215" t="s">
        <v>13459</v>
      </c>
      <c r="H132" s="216">
        <v>0</v>
      </c>
      <c r="I132" s="217" t="s">
        <v>1667</v>
      </c>
      <c r="J132" s="217" t="s">
        <v>13849</v>
      </c>
      <c r="K132" s="268"/>
      <c r="L132" s="268"/>
      <c r="M132" s="268"/>
      <c r="N132" s="268"/>
      <c r="O132" s="268"/>
      <c r="P132" s="218"/>
      <c r="Q132" s="269"/>
      <c r="R132" s="215" t="str">
        <f ca="1">IF(ISERROR($V132),"",OFFSET('Smelter Look-up'!$C$4,$V132-4,0)&amp;"")</f>
        <v>Sichuan Tianze Precious Metals Co., Ltd.</v>
      </c>
      <c r="S132" s="222" t="str">
        <f t="shared" ca="1" si="15"/>
        <v>CN</v>
      </c>
      <c r="T132" s="222" t="str">
        <f ca="1">IF(B132="","",IF(ISERROR(MATCH($J132,SorP!$B$1:$B$6230,0)),"",INDIRECT("'SorP'!$A$"&amp;MATCH($J132,SorP!$B$1:$B$6230,0))))</f>
        <v>CN-SC</v>
      </c>
      <c r="U132" s="238"/>
      <c r="V132" s="270">
        <f>IF(C132="",NA(),MATCH($B132&amp;$C132,'Smelter Look-up'!$J:$J,0))</f>
        <v>247</v>
      </c>
      <c r="W132" s="271"/>
      <c r="X132" s="271">
        <f t="shared" si="16"/>
        <v>0</v>
      </c>
      <c r="Y132" s="271"/>
      <c r="Z132" s="271"/>
      <c r="AB132" s="273" t="str">
        <f t="shared" si="17"/>
        <v>GoldSichuan Tianze Precious Metals Co., Ltd.</v>
      </c>
    </row>
    <row r="133" spans="1:28" s="272" customFormat="1" ht="110.7">
      <c r="A133" s="214" t="s">
        <v>729</v>
      </c>
      <c r="B133" s="215" t="s">
        <v>1130</v>
      </c>
      <c r="C133" s="219" t="s">
        <v>914</v>
      </c>
      <c r="D133" s="278"/>
      <c r="E133" s="215" t="s">
        <v>883</v>
      </c>
      <c r="F133" s="215" t="s">
        <v>729</v>
      </c>
      <c r="G133" s="215" t="s">
        <v>13459</v>
      </c>
      <c r="H133" s="216">
        <v>0</v>
      </c>
      <c r="I133" s="217" t="s">
        <v>1668</v>
      </c>
      <c r="J133" s="217" t="s">
        <v>10169</v>
      </c>
      <c r="K133" s="268"/>
      <c r="L133" s="268"/>
      <c r="M133" s="268"/>
      <c r="N133" s="268"/>
      <c r="O133" s="268"/>
      <c r="P133" s="218"/>
      <c r="Q133" s="269"/>
      <c r="R133" s="215" t="str">
        <f ca="1">IF(ISERROR($V133),"",OFFSET('Smelter Look-up'!$C$4,$V133-4,0)&amp;"")</f>
        <v>SOE Shyolkovsky Factory of Secondary Precious Metals</v>
      </c>
      <c r="S133" s="222" t="str">
        <f t="shared" ref="S133" ca="1" si="18">IF(B133="","",IF(ISERROR(MATCH($E133,CL,0)),"Unknown",INDIRECT("'C'!$A$"&amp;MATCH($E133,CL,0)+1)))</f>
        <v>RU</v>
      </c>
      <c r="T133" s="222" t="str">
        <f ca="1">IF(B133="","",IF(ISERROR(MATCH($J133,SorP!$B$1:$B$6230,0)),"",INDIRECT("'SorP'!$A$"&amp;MATCH($J133,SorP!$B$1:$B$6230,0))))</f>
        <v>RU-MOS</v>
      </c>
      <c r="U133" s="238"/>
      <c r="V133" s="270">
        <f>IF(C133="",NA(),MATCH($B133&amp;$C133,'Smelter Look-up'!$J:$J,0))</f>
        <v>251</v>
      </c>
      <c r="W133" s="271"/>
      <c r="X133" s="271">
        <f t="shared" ref="X133" si="19">IF(AND(C133="Smelter not listed",OR(LEN(D133)=0,LEN(E133)=0)),1,0)</f>
        <v>0</v>
      </c>
      <c r="Y133" s="271"/>
      <c r="Z133" s="271"/>
      <c r="AB133" s="273" t="str">
        <f t="shared" ref="AB133" si="20">B133&amp;C133</f>
        <v>GoldSOE Shyolkovsky Factory of Secondary Precious Metals</v>
      </c>
    </row>
    <row r="134" spans="1:28" s="272" customFormat="1" ht="36.9">
      <c r="A134" s="214" t="s">
        <v>787</v>
      </c>
      <c r="B134" s="215" t="s">
        <v>1131</v>
      </c>
      <c r="C134" s="219" t="s">
        <v>2178</v>
      </c>
      <c r="D134" s="278"/>
      <c r="E134" s="215" t="s">
        <v>1096</v>
      </c>
      <c r="F134" s="215" t="s">
        <v>787</v>
      </c>
      <c r="G134" s="215" t="s">
        <v>13459</v>
      </c>
      <c r="H134" s="216">
        <v>0</v>
      </c>
      <c r="I134" s="217" t="s">
        <v>1809</v>
      </c>
      <c r="J134" s="217" t="s">
        <v>1683</v>
      </c>
      <c r="K134" s="268"/>
      <c r="L134" s="268"/>
      <c r="M134" s="268"/>
      <c r="N134" s="268"/>
      <c r="O134" s="268"/>
      <c r="P134" s="218"/>
      <c r="Q134" s="269"/>
      <c r="R134" s="215" t="str">
        <f ca="1">IF(ISERROR($V134),"",OFFSET('Smelter Look-up'!$C$4,$V134-4,0)&amp;"")</f>
        <v>Soft Metais Ltda.</v>
      </c>
      <c r="S134" s="222" t="str">
        <f t="shared" ref="S134:S165" ca="1" si="21">IF(B134="","",IF(ISERROR(MATCH($E134,CL,0)),"Unknown",INDIRECT("'C'!$A$"&amp;MATCH($E134,CL,0)+1)))</f>
        <v>BR</v>
      </c>
      <c r="T134" s="222" t="str">
        <f ca="1">IF(B134="","",IF(ISERROR(MATCH($J134,SorP!$B$1:$B$6230,0)),"",INDIRECT("'SorP'!$A$"&amp;MATCH($J134,SorP!$B$1:$B$6230,0))))</f>
        <v>BR-SP</v>
      </c>
      <c r="U134" s="238"/>
      <c r="V134" s="270">
        <f>IF(C134="",NA(),MATCH($B134&amp;$C134,'Smelter Look-up'!$J:$J,0))</f>
        <v>499</v>
      </c>
      <c r="W134" s="271"/>
      <c r="X134" s="271">
        <f t="shared" ref="X134:X165" si="22">IF(AND(C134="Smelter not listed",OR(LEN(D134)=0,LEN(E134)=0)),1,0)</f>
        <v>0</v>
      </c>
      <c r="Y134" s="271"/>
      <c r="Z134" s="271"/>
      <c r="AB134" s="273" t="str">
        <f t="shared" ref="AB134:AB165" si="23">B134&amp;C134</f>
        <v>TinSoft Metais Ltda.</v>
      </c>
    </row>
    <row r="135" spans="1:28" s="272" customFormat="1" ht="61.5">
      <c r="A135" s="214" t="s">
        <v>730</v>
      </c>
      <c r="B135" s="215" t="s">
        <v>1130</v>
      </c>
      <c r="C135" s="219" t="s">
        <v>915</v>
      </c>
      <c r="D135" s="278"/>
      <c r="E135" s="215" t="s">
        <v>2462</v>
      </c>
      <c r="F135" s="215" t="s">
        <v>730</v>
      </c>
      <c r="G135" s="215" t="s">
        <v>13459</v>
      </c>
      <c r="H135" s="216">
        <v>0</v>
      </c>
      <c r="I135" s="217" t="s">
        <v>1669</v>
      </c>
      <c r="J135" s="217" t="s">
        <v>11721</v>
      </c>
      <c r="K135" s="268"/>
      <c r="L135" s="268"/>
      <c r="M135" s="268"/>
      <c r="N135" s="268"/>
      <c r="O135" s="268"/>
      <c r="P135" s="218"/>
      <c r="Q135" s="269"/>
      <c r="R135" s="215" t="str">
        <f ca="1">IF(ISERROR($V135),"",OFFSET('Smelter Look-up'!$C$4,$V135-4,0)&amp;"")</f>
        <v>Solar Applied Materials Technology Corp.</v>
      </c>
      <c r="S135" s="222" t="str">
        <f t="shared" ca="1" si="21"/>
        <v>TW</v>
      </c>
      <c r="T135" s="222" t="str">
        <f ca="1">IF(B135="","",IF(ISERROR(MATCH($J135,SorP!$B$1:$B$6230,0)),"",INDIRECT("'SorP'!$A$"&amp;MATCH($J135,SorP!$B$1:$B$6230,0))))</f>
        <v>TW-TNN</v>
      </c>
      <c r="U135" s="238"/>
      <c r="V135" s="270">
        <f>IF(C135="",NA(),MATCH($B135&amp;$C135,'Smelter Look-up'!$J:$J,0))</f>
        <v>252</v>
      </c>
      <c r="W135" s="271"/>
      <c r="X135" s="271">
        <f t="shared" si="22"/>
        <v>0</v>
      </c>
      <c r="Y135" s="271"/>
      <c r="Z135" s="271"/>
      <c r="AB135" s="273" t="str">
        <f t="shared" si="23"/>
        <v>GoldSolar Applied Materials Technology Corp.</v>
      </c>
    </row>
    <row r="136" spans="1:28" s="272" customFormat="1" ht="86.1">
      <c r="A136" s="214" t="s">
        <v>762</v>
      </c>
      <c r="B136" s="215" t="s">
        <v>1132</v>
      </c>
      <c r="C136" s="219" t="s">
        <v>1378</v>
      </c>
      <c r="D136" s="278"/>
      <c r="E136" s="215" t="s">
        <v>883</v>
      </c>
      <c r="F136" s="215" t="s">
        <v>762</v>
      </c>
      <c r="G136" s="215" t="s">
        <v>13459</v>
      </c>
      <c r="H136" s="216">
        <v>0</v>
      </c>
      <c r="I136" s="217" t="s">
        <v>1745</v>
      </c>
      <c r="J136" s="217" t="s">
        <v>10218</v>
      </c>
      <c r="K136" s="268"/>
      <c r="L136" s="268"/>
      <c r="M136" s="268"/>
      <c r="N136" s="268"/>
      <c r="O136" s="268"/>
      <c r="P136" s="218"/>
      <c r="Q136" s="269"/>
      <c r="R136" s="215" t="str">
        <f ca="1">IF(ISERROR($V136),"",OFFSET('Smelter Look-up'!$C$4,$V136-4,0)&amp;"")</f>
        <v>Solikamsk Magnesium Works OAO</v>
      </c>
      <c r="S136" s="222" t="str">
        <f t="shared" ca="1" si="21"/>
        <v>RU</v>
      </c>
      <c r="T136" s="222" t="str">
        <f ca="1">IF(B136="","",IF(ISERROR(MATCH($J136,SorP!$B$1:$B$6230,0)),"",INDIRECT("'SorP'!$A$"&amp;MATCH($J136,SorP!$B$1:$B$6230,0))))</f>
        <v>RU-PER</v>
      </c>
      <c r="U136" s="238"/>
      <c r="V136" s="270">
        <f>IF(C136="",NA(),MATCH($B136&amp;$C136,'Smelter Look-up'!$J:$J,0))</f>
        <v>364</v>
      </c>
      <c r="W136" s="271"/>
      <c r="X136" s="271">
        <f t="shared" si="22"/>
        <v>0</v>
      </c>
      <c r="Y136" s="271"/>
      <c r="Z136" s="271"/>
      <c r="AB136" s="273" t="str">
        <f t="shared" si="23"/>
        <v>TantalumSolikamsk Magnesium Works OAO</v>
      </c>
    </row>
    <row r="137" spans="1:28" s="272" customFormat="1" ht="61.5">
      <c r="A137" s="214" t="s">
        <v>731</v>
      </c>
      <c r="B137" s="215" t="s">
        <v>1130</v>
      </c>
      <c r="C137" s="219" t="s">
        <v>58</v>
      </c>
      <c r="D137" s="278"/>
      <c r="E137" s="215" t="s">
        <v>1108</v>
      </c>
      <c r="F137" s="215" t="s">
        <v>731</v>
      </c>
      <c r="G137" s="215" t="s">
        <v>13459</v>
      </c>
      <c r="H137" s="216">
        <v>0</v>
      </c>
      <c r="I137" s="217" t="s">
        <v>1670</v>
      </c>
      <c r="J137" s="217" t="s">
        <v>2231</v>
      </c>
      <c r="K137" s="268"/>
      <c r="L137" s="268"/>
      <c r="M137" s="268"/>
      <c r="N137" s="268"/>
      <c r="O137" s="268"/>
      <c r="P137" s="218"/>
      <c r="Q137" s="269"/>
      <c r="R137" s="215" t="str">
        <f ca="1">IF(ISERROR($V137),"",OFFSET('Smelter Look-up'!$C$4,$V137-4,0)&amp;"")</f>
        <v>Sumitomo Metal Mining Co., Ltd.</v>
      </c>
      <c r="S137" s="222" t="str">
        <f t="shared" ca="1" si="21"/>
        <v>JP</v>
      </c>
      <c r="T137" s="222" t="str">
        <f ca="1">IF(B137="","",IF(ISERROR(MATCH($J137,SorP!$B$1:$B$6230,0)),"",INDIRECT("'SorP'!$A$"&amp;MATCH($J137,SorP!$B$1:$B$6230,0))))</f>
        <v>JP-38</v>
      </c>
      <c r="U137" s="238"/>
      <c r="V137" s="270">
        <f>IF(C137="",NA(),MATCH($B137&amp;$C137,'Smelter Look-up'!$J:$J,0))</f>
        <v>259</v>
      </c>
      <c r="W137" s="271"/>
      <c r="X137" s="271">
        <f t="shared" si="22"/>
        <v>0</v>
      </c>
      <c r="Y137" s="271"/>
      <c r="Z137" s="271"/>
      <c r="AB137" s="273" t="str">
        <f t="shared" si="23"/>
        <v>GoldSumitomo Metal Mining Co., Ltd.</v>
      </c>
    </row>
    <row r="138" spans="1:28" s="272" customFormat="1" ht="61.5">
      <c r="A138" s="214" t="s">
        <v>763</v>
      </c>
      <c r="B138" s="215" t="s">
        <v>1132</v>
      </c>
      <c r="C138" s="219" t="s">
        <v>2476</v>
      </c>
      <c r="D138" s="278"/>
      <c r="E138" s="215" t="s">
        <v>1108</v>
      </c>
      <c r="F138" s="215" t="s">
        <v>763</v>
      </c>
      <c r="G138" s="215" t="s">
        <v>13459</v>
      </c>
      <c r="H138" s="216">
        <v>0</v>
      </c>
      <c r="I138" s="217" t="s">
        <v>1746</v>
      </c>
      <c r="J138" s="217" t="s">
        <v>1558</v>
      </c>
      <c r="K138" s="268"/>
      <c r="L138" s="268"/>
      <c r="M138" s="268"/>
      <c r="N138" s="268"/>
      <c r="O138" s="268"/>
      <c r="P138" s="218"/>
      <c r="Q138" s="269"/>
      <c r="R138" s="215" t="str">
        <f ca="1">IF(ISERROR($V138),"",OFFSET('Smelter Look-up'!$C$4,$V138-4,0)&amp;"")</f>
        <v>Taki Chemical Co., Ltd.</v>
      </c>
      <c r="S138" s="222" t="str">
        <f t="shared" ca="1" si="21"/>
        <v>JP</v>
      </c>
      <c r="T138" s="222" t="str">
        <f ca="1">IF(B138="","",IF(ISERROR(MATCH($J138,SorP!$B$1:$B$6230,0)),"",INDIRECT("'SorP'!$A$"&amp;MATCH($J138,SorP!$B$1:$B$6230,0))))</f>
        <v>JP-28</v>
      </c>
      <c r="U138" s="238"/>
      <c r="V138" s="270">
        <f>IF(C138="",NA(),MATCH($B138&amp;$C138,'Smelter Look-up'!$J:$J,0))</f>
        <v>366</v>
      </c>
      <c r="W138" s="271"/>
      <c r="X138" s="271">
        <f t="shared" si="22"/>
        <v>0</v>
      </c>
      <c r="Y138" s="271"/>
      <c r="Z138" s="271"/>
      <c r="AB138" s="273" t="str">
        <f t="shared" si="23"/>
        <v>TantalumTaki Chemical Co., Ltd.</v>
      </c>
    </row>
    <row r="139" spans="1:28" s="272" customFormat="1" ht="61.5">
      <c r="A139" s="214" t="s">
        <v>732</v>
      </c>
      <c r="B139" s="215" t="s">
        <v>1130</v>
      </c>
      <c r="C139" s="219" t="s">
        <v>1233</v>
      </c>
      <c r="D139" s="278"/>
      <c r="E139" s="215" t="s">
        <v>1108</v>
      </c>
      <c r="F139" s="215" t="s">
        <v>732</v>
      </c>
      <c r="G139" s="215" t="s">
        <v>13459</v>
      </c>
      <c r="H139" s="216">
        <v>0</v>
      </c>
      <c r="I139" s="217" t="s">
        <v>1672</v>
      </c>
      <c r="J139" s="217" t="s">
        <v>1673</v>
      </c>
      <c r="K139" s="268"/>
      <c r="L139" s="268"/>
      <c r="M139" s="268"/>
      <c r="N139" s="268"/>
      <c r="O139" s="268"/>
      <c r="P139" s="218"/>
      <c r="Q139" s="269"/>
      <c r="R139" s="215" t="str">
        <f ca="1">IF(ISERROR($V139),"",OFFSET('Smelter Look-up'!$C$4,$V139-4,0)&amp;"")</f>
        <v>Tanaka Kikinzoku Kogyo K.K.</v>
      </c>
      <c r="S139" s="222" t="str">
        <f t="shared" ca="1" si="21"/>
        <v>JP</v>
      </c>
      <c r="T139" s="222" t="str">
        <f ca="1">IF(B139="","",IF(ISERROR(MATCH($J139,SorP!$B$1:$B$6230,0)),"",INDIRECT("'SorP'!$A$"&amp;MATCH($J139,SorP!$B$1:$B$6230,0))))</f>
        <v>JP-14</v>
      </c>
      <c r="U139" s="238"/>
      <c r="V139" s="270">
        <f>IF(C139="",NA(),MATCH($B139&amp;$C139,'Smelter Look-up'!$J:$J,0))</f>
        <v>271</v>
      </c>
      <c r="W139" s="271"/>
      <c r="X139" s="271">
        <f t="shared" si="22"/>
        <v>0</v>
      </c>
      <c r="Y139" s="271"/>
      <c r="Z139" s="271"/>
      <c r="AB139" s="273" t="str">
        <f t="shared" si="23"/>
        <v>GoldTanaka Kikinzoku Kogyo K.K.</v>
      </c>
    </row>
    <row r="140" spans="1:28" s="272" customFormat="1" ht="24.6">
      <c r="A140" s="214" t="s">
        <v>788</v>
      </c>
      <c r="B140" s="215" t="s">
        <v>1131</v>
      </c>
      <c r="C140" s="219" t="s">
        <v>1031</v>
      </c>
      <c r="D140" s="278"/>
      <c r="E140" s="215" t="s">
        <v>888</v>
      </c>
      <c r="F140" s="215" t="s">
        <v>788</v>
      </c>
      <c r="G140" s="215" t="s">
        <v>13459</v>
      </c>
      <c r="H140" s="216">
        <v>0</v>
      </c>
      <c r="I140" s="217" t="s">
        <v>1810</v>
      </c>
      <c r="J140" s="217" t="s">
        <v>1811</v>
      </c>
      <c r="K140" s="268"/>
      <c r="L140" s="268"/>
      <c r="M140" s="268"/>
      <c r="N140" s="268"/>
      <c r="O140" s="268"/>
      <c r="P140" s="218"/>
      <c r="Q140" s="269"/>
      <c r="R140" s="215" t="str">
        <f ca="1">IF(ISERROR($V140),"",OFFSET('Smelter Look-up'!$C$4,$V140-4,0)&amp;"")</f>
        <v>Thaisarco</v>
      </c>
      <c r="S140" s="222" t="str">
        <f t="shared" ca="1" si="21"/>
        <v>TH</v>
      </c>
      <c r="T140" s="222" t="str">
        <f ca="1">IF(B140="","",IF(ISERROR(MATCH($J140,SorP!$B$1:$B$6230,0)),"",INDIRECT("'SorP'!$A$"&amp;MATCH($J140,SorP!$B$1:$B$6230,0))))</f>
        <v>TH-83</v>
      </c>
      <c r="U140" s="238"/>
      <c r="V140" s="270">
        <f>IF(C140="",NA(),MATCH($B140&amp;$C140,'Smelter Look-up'!$J:$J,0))</f>
        <v>504</v>
      </c>
      <c r="W140" s="271"/>
      <c r="X140" s="271">
        <f t="shared" si="22"/>
        <v>0</v>
      </c>
      <c r="Y140" s="271"/>
      <c r="Z140" s="271"/>
      <c r="AB140" s="273" t="str">
        <f t="shared" si="23"/>
        <v>TinThaisarco</v>
      </c>
    </row>
    <row r="141" spans="1:28" s="272" customFormat="1" ht="86.1">
      <c r="A141" s="214" t="s">
        <v>734</v>
      </c>
      <c r="B141" s="215" t="s">
        <v>1130</v>
      </c>
      <c r="C141" s="219" t="s">
        <v>2179</v>
      </c>
      <c r="D141" s="278"/>
      <c r="E141" s="215" t="s">
        <v>1100</v>
      </c>
      <c r="F141" s="215" t="s">
        <v>734</v>
      </c>
      <c r="G141" s="215" t="s">
        <v>13459</v>
      </c>
      <c r="H141" s="216">
        <v>0</v>
      </c>
      <c r="I141" s="217" t="s">
        <v>1663</v>
      </c>
      <c r="J141" s="217" t="s">
        <v>13843</v>
      </c>
      <c r="K141" s="268"/>
      <c r="L141" s="268"/>
      <c r="M141" s="268"/>
      <c r="N141" s="268"/>
      <c r="O141" s="268"/>
      <c r="P141" s="218"/>
      <c r="Q141" s="269"/>
      <c r="R141" s="215" t="str">
        <f ca="1">IF(ISERROR($V141),"",OFFSET('Smelter Look-up'!$C$4,$V141-4,0)&amp;"")</f>
        <v>Shandong Gold Smelting Co., Ltd.</v>
      </c>
      <c r="S141" s="222" t="str">
        <f t="shared" ca="1" si="21"/>
        <v>CN</v>
      </c>
      <c r="T141" s="222" t="str">
        <f ca="1">IF(B141="","",IF(ISERROR(MATCH($J141,SorP!$B$1:$B$6230,0)),"",INDIRECT("'SorP'!$A$"&amp;MATCH($J141,SorP!$B$1:$B$6230,0))))</f>
        <v>CN-SD</v>
      </c>
      <c r="U141" s="238"/>
      <c r="V141" s="270">
        <f>IF(C141="",NA(),MATCH($B141&amp;$C141,'Smelter Look-up'!$J:$J,0))</f>
        <v>275</v>
      </c>
      <c r="W141" s="271"/>
      <c r="X141" s="271">
        <f t="shared" si="22"/>
        <v>0</v>
      </c>
      <c r="Y141" s="271"/>
      <c r="Z141" s="271"/>
      <c r="AB141" s="273" t="str">
        <f t="shared" si="23"/>
        <v>GoldThe Refinery of Shandong Gold Mining Co., Ltd.</v>
      </c>
    </row>
    <row r="142" spans="1:28" s="272" customFormat="1" ht="49.2">
      <c r="A142" s="214" t="s">
        <v>735</v>
      </c>
      <c r="B142" s="215" t="s">
        <v>1130</v>
      </c>
      <c r="C142" s="219" t="s">
        <v>2180</v>
      </c>
      <c r="D142" s="278"/>
      <c r="E142" s="215" t="s">
        <v>1108</v>
      </c>
      <c r="F142" s="215" t="s">
        <v>735</v>
      </c>
      <c r="G142" s="215" t="s">
        <v>13459</v>
      </c>
      <c r="H142" s="216">
        <v>0</v>
      </c>
      <c r="I142" s="217" t="s">
        <v>1678</v>
      </c>
      <c r="J142" s="217" t="s">
        <v>1587</v>
      </c>
      <c r="K142" s="268"/>
      <c r="L142" s="268"/>
      <c r="M142" s="268"/>
      <c r="N142" s="268"/>
      <c r="O142" s="268"/>
      <c r="P142" s="218"/>
      <c r="Q142" s="269"/>
      <c r="R142" s="215" t="str">
        <f ca="1">IF(ISERROR($V142),"",OFFSET('Smelter Look-up'!$C$4,$V142-4,0)&amp;"")</f>
        <v>Tokuriki Honten Co., Ltd.</v>
      </c>
      <c r="S142" s="222" t="str">
        <f t="shared" ca="1" si="21"/>
        <v>JP</v>
      </c>
      <c r="T142" s="222" t="str">
        <f ca="1">IF(B142="","",IF(ISERROR(MATCH($J142,SorP!$B$1:$B$6230,0)),"",INDIRECT("'SorP'!$A$"&amp;MATCH($J142,SorP!$B$1:$B$6230,0))))</f>
        <v>JP-11</v>
      </c>
      <c r="U142" s="238"/>
      <c r="V142" s="270">
        <f>IF(C142="",NA(),MATCH($B142&amp;$C142,'Smelter Look-up'!$J:$J,0))</f>
        <v>276</v>
      </c>
      <c r="W142" s="271"/>
      <c r="X142" s="271">
        <f t="shared" si="22"/>
        <v>0</v>
      </c>
      <c r="Y142" s="271"/>
      <c r="Z142" s="271"/>
      <c r="AB142" s="273" t="str">
        <f t="shared" si="23"/>
        <v>GoldTokuriki Honten Co., Ltd.</v>
      </c>
    </row>
    <row r="143" spans="1:28" s="272" customFormat="1" ht="24.6">
      <c r="A143" s="214" t="s">
        <v>737</v>
      </c>
      <c r="B143" s="215" t="s">
        <v>1130</v>
      </c>
      <c r="C143" s="219" t="s">
        <v>610</v>
      </c>
      <c r="D143" s="278"/>
      <c r="E143" s="215" t="s">
        <v>1111</v>
      </c>
      <c r="F143" s="215" t="s">
        <v>737</v>
      </c>
      <c r="G143" s="215" t="s">
        <v>13459</v>
      </c>
      <c r="H143" s="216">
        <v>0</v>
      </c>
      <c r="I143" s="217" t="s">
        <v>1682</v>
      </c>
      <c r="J143" s="217" t="s">
        <v>13083</v>
      </c>
      <c r="K143" s="268"/>
      <c r="L143" s="268"/>
      <c r="M143" s="268"/>
      <c r="N143" s="268"/>
      <c r="O143" s="268"/>
      <c r="P143" s="218"/>
      <c r="Q143" s="269"/>
      <c r="R143" s="215" t="str">
        <f ca="1">IF(ISERROR($V143),"",OFFSET('Smelter Look-up'!$C$4,$V143-4,0)&amp;"")</f>
        <v>Torecom</v>
      </c>
      <c r="S143" s="222" t="str">
        <f t="shared" ca="1" si="21"/>
        <v>KR</v>
      </c>
      <c r="T143" s="222" t="str">
        <f ca="1">IF(B143="","",IF(ISERROR(MATCH($J143,SorP!$B$1:$B$6230,0)),"",INDIRECT("'SorP'!$A$"&amp;MATCH($J143,SorP!$B$1:$B$6230,0))))</f>
        <v>KR-44</v>
      </c>
      <c r="U143" s="238"/>
      <c r="V143" s="270">
        <f>IF(C143="",NA(),MATCH($B143&amp;$C143,'Smelter Look-up'!$J:$J,0))</f>
        <v>281</v>
      </c>
      <c r="W143" s="271"/>
      <c r="X143" s="271">
        <f t="shared" si="22"/>
        <v>0</v>
      </c>
      <c r="Y143" s="271"/>
      <c r="Z143" s="271"/>
      <c r="AB143" s="273" t="str">
        <f t="shared" si="23"/>
        <v>GoldTorecom</v>
      </c>
    </row>
    <row r="144" spans="1:28" s="272" customFormat="1" ht="49.2">
      <c r="A144" s="214" t="s">
        <v>15622</v>
      </c>
      <c r="B144" s="215" t="s">
        <v>1130</v>
      </c>
      <c r="C144" s="219" t="s">
        <v>15623</v>
      </c>
      <c r="D144" s="278"/>
      <c r="E144" s="215" t="s">
        <v>1096</v>
      </c>
      <c r="F144" s="215" t="s">
        <v>15622</v>
      </c>
      <c r="G144" s="215" t="s">
        <v>13459</v>
      </c>
      <c r="H144" s="216">
        <v>0</v>
      </c>
      <c r="I144" s="217" t="s">
        <v>15624</v>
      </c>
      <c r="J144" s="217" t="s">
        <v>1683</v>
      </c>
      <c r="K144" s="268"/>
      <c r="L144" s="268"/>
      <c r="M144" s="268"/>
      <c r="N144" s="268"/>
      <c r="O144" s="268"/>
      <c r="P144" s="218"/>
      <c r="Q144" s="269"/>
      <c r="R144" s="215" t="str">
        <f ca="1">IF(ISERROR($V144),"",OFFSET('Smelter Look-up'!$C$4,$V144-4,0)&amp;"")</f>
        <v/>
      </c>
      <c r="S144" s="222" t="str">
        <f t="shared" ca="1" si="21"/>
        <v>BR</v>
      </c>
      <c r="T144" s="222" t="str">
        <f ca="1">IF(B144="","",IF(ISERROR(MATCH($J144,SorP!$B$1:$B$6230,0)),"",INDIRECT("'SorP'!$A$"&amp;MATCH($J144,SorP!$B$1:$B$6230,0))))</f>
        <v>BR-SP</v>
      </c>
      <c r="U144" s="238"/>
      <c r="V144" s="270" t="e">
        <f>IF(C144="",NA(),MATCH($B144&amp;$C144,'Smelter Look-up'!$J:$J,0))</f>
        <v>#N/A</v>
      </c>
      <c r="W144" s="271"/>
      <c r="X144" s="271">
        <f t="shared" si="22"/>
        <v>0</v>
      </c>
      <c r="Y144" s="271"/>
      <c r="Z144" s="271"/>
      <c r="AB144" s="273" t="str">
        <f t="shared" si="23"/>
        <v>GoldUmicore Brasil Ltda.</v>
      </c>
    </row>
    <row r="145" spans="1:28" s="272" customFormat="1" ht="98.4">
      <c r="A145" s="214" t="s">
        <v>738</v>
      </c>
      <c r="B145" s="215" t="s">
        <v>1130</v>
      </c>
      <c r="C145" s="219" t="s">
        <v>2358</v>
      </c>
      <c r="D145" s="278"/>
      <c r="E145" s="215" t="s">
        <v>1095</v>
      </c>
      <c r="F145" s="215" t="s">
        <v>738</v>
      </c>
      <c r="G145" s="215" t="s">
        <v>13459</v>
      </c>
      <c r="H145" s="216">
        <v>0</v>
      </c>
      <c r="I145" s="217" t="s">
        <v>1684</v>
      </c>
      <c r="J145" s="217" t="s">
        <v>3190</v>
      </c>
      <c r="K145" s="268"/>
      <c r="L145" s="268"/>
      <c r="M145" s="268"/>
      <c r="N145" s="268"/>
      <c r="O145" s="268"/>
      <c r="P145" s="218"/>
      <c r="Q145" s="269"/>
      <c r="R145" s="215" t="str">
        <f ca="1">IF(ISERROR($V145),"",OFFSET('Smelter Look-up'!$C$4,$V145-4,0)&amp;"")</f>
        <v>Umicore S.A. Business Unit Precious Metals Refining</v>
      </c>
      <c r="S145" s="222" t="str">
        <f t="shared" ca="1" si="21"/>
        <v>BE</v>
      </c>
      <c r="T145" s="222" t="str">
        <f ca="1">IF(B145="","",IF(ISERROR(MATCH($J145,SorP!$B$1:$B$6230,0)),"",INDIRECT("'SorP'!$A$"&amp;MATCH($J145,SorP!$B$1:$B$6230,0))))</f>
        <v>BE-VAN</v>
      </c>
      <c r="U145" s="238"/>
      <c r="V145" s="270">
        <f>IF(C145="",NA(),MATCH($B145&amp;$C145,'Smelter Look-up'!$J:$J,0))</f>
        <v>286</v>
      </c>
      <c r="W145" s="271"/>
      <c r="X145" s="271">
        <f t="shared" si="22"/>
        <v>0</v>
      </c>
      <c r="Y145" s="271"/>
      <c r="Z145" s="271"/>
      <c r="AB145" s="273" t="str">
        <f t="shared" si="23"/>
        <v>GoldUmicore S.A. Business Unit Precious Metals Refining</v>
      </c>
    </row>
    <row r="146" spans="1:28" s="272" customFormat="1" ht="73.8">
      <c r="A146" s="214" t="s">
        <v>739</v>
      </c>
      <c r="B146" s="215" t="s">
        <v>1130</v>
      </c>
      <c r="C146" s="219" t="s">
        <v>820</v>
      </c>
      <c r="D146" s="278"/>
      <c r="E146" s="215" t="s">
        <v>2463</v>
      </c>
      <c r="F146" s="215" t="s">
        <v>739</v>
      </c>
      <c r="G146" s="215" t="s">
        <v>13459</v>
      </c>
      <c r="H146" s="216">
        <v>0</v>
      </c>
      <c r="I146" s="217" t="s">
        <v>1686</v>
      </c>
      <c r="J146" s="217" t="s">
        <v>1624</v>
      </c>
      <c r="K146" s="268"/>
      <c r="L146" s="268"/>
      <c r="M146" s="268"/>
      <c r="N146" s="268"/>
      <c r="O146" s="268"/>
      <c r="P146" s="218"/>
      <c r="Q146" s="269"/>
      <c r="R146" s="215" t="str">
        <f ca="1">IF(ISERROR($V146),"",OFFSET('Smelter Look-up'!$C$4,$V146-4,0)&amp;"")</f>
        <v>United Precious Metal Refining, Inc.</v>
      </c>
      <c r="S146" s="222" t="str">
        <f t="shared" ca="1" si="21"/>
        <v>US</v>
      </c>
      <c r="T146" s="222" t="str">
        <f ca="1">IF(B146="","",IF(ISERROR(MATCH($J146,SorP!$B$1:$B$6230,0)),"",INDIRECT("'SorP'!$A$"&amp;MATCH($J146,SorP!$B$1:$B$6230,0))))</f>
        <v>US-NY</v>
      </c>
      <c r="U146" s="238"/>
      <c r="V146" s="270">
        <f>IF(C146="",NA(),MATCH($B146&amp;$C146,'Smelter Look-up'!$J:$J,0))</f>
        <v>287</v>
      </c>
      <c r="W146" s="271"/>
      <c r="X146" s="271">
        <f t="shared" si="22"/>
        <v>0</v>
      </c>
      <c r="Y146" s="271"/>
      <c r="Z146" s="271"/>
      <c r="AB146" s="273" t="str">
        <f t="shared" si="23"/>
        <v>GoldUnited Precious Metal Refining, Inc.</v>
      </c>
    </row>
    <row r="147" spans="1:28" s="272" customFormat="1" ht="36.9">
      <c r="A147" s="214" t="s">
        <v>740</v>
      </c>
      <c r="B147" s="215" t="s">
        <v>1130</v>
      </c>
      <c r="C147" s="219" t="s">
        <v>2360</v>
      </c>
      <c r="D147" s="278"/>
      <c r="E147" s="215" t="s">
        <v>1098</v>
      </c>
      <c r="F147" s="215" t="s">
        <v>740</v>
      </c>
      <c r="G147" s="215" t="s">
        <v>13459</v>
      </c>
      <c r="H147" s="216">
        <v>0</v>
      </c>
      <c r="I147" s="217" t="s">
        <v>1687</v>
      </c>
      <c r="J147" s="217" t="s">
        <v>1556</v>
      </c>
      <c r="K147" s="268"/>
      <c r="L147" s="268"/>
      <c r="M147" s="268"/>
      <c r="N147" s="268"/>
      <c r="O147" s="268"/>
      <c r="P147" s="218"/>
      <c r="Q147" s="269"/>
      <c r="R147" s="215" t="str">
        <f ca="1">IF(ISERROR($V147),"",OFFSET('Smelter Look-up'!$C$4,$V147-4,0)&amp;"")</f>
        <v>Valcambi S.A.</v>
      </c>
      <c r="S147" s="222" t="str">
        <f t="shared" ca="1" si="21"/>
        <v>CH</v>
      </c>
      <c r="T147" s="222" t="str">
        <f ca="1">IF(B147="","",IF(ISERROR(MATCH($J147,SorP!$B$1:$B$6230,0)),"",INDIRECT("'SorP'!$A$"&amp;MATCH($J147,SorP!$B$1:$B$6230,0))))</f>
        <v>CH-TI</v>
      </c>
      <c r="U147" s="238"/>
      <c r="V147" s="270">
        <f>IF(C147="",NA(),MATCH($B147&amp;$C147,'Smelter Look-up'!$J:$J,0))</f>
        <v>288</v>
      </c>
      <c r="W147" s="271"/>
      <c r="X147" s="271">
        <f t="shared" si="22"/>
        <v>0</v>
      </c>
      <c r="Y147" s="271"/>
      <c r="Z147" s="271"/>
      <c r="AB147" s="273" t="str">
        <f t="shared" si="23"/>
        <v>GoldValcambi S.A.</v>
      </c>
    </row>
    <row r="148" spans="1:28" s="272" customFormat="1" ht="86.1">
      <c r="A148" s="214" t="s">
        <v>741</v>
      </c>
      <c r="B148" s="215" t="s">
        <v>1130</v>
      </c>
      <c r="C148" s="219" t="s">
        <v>2519</v>
      </c>
      <c r="D148" s="278"/>
      <c r="E148" s="215" t="s">
        <v>1093</v>
      </c>
      <c r="F148" s="215" t="s">
        <v>741</v>
      </c>
      <c r="G148" s="215" t="s">
        <v>13459</v>
      </c>
      <c r="H148" s="216">
        <v>0</v>
      </c>
      <c r="I148" s="217" t="s">
        <v>1688</v>
      </c>
      <c r="J148" s="217" t="s">
        <v>1689</v>
      </c>
      <c r="K148" s="268"/>
      <c r="L148" s="268"/>
      <c r="M148" s="268"/>
      <c r="N148" s="268"/>
      <c r="O148" s="268"/>
      <c r="P148" s="218"/>
      <c r="Q148" s="269"/>
      <c r="R148" s="215" t="str">
        <f ca="1">IF(ISERROR($V148),"",OFFSET('Smelter Look-up'!$C$4,$V148-4,0)&amp;"")</f>
        <v>Western Australian Mint (T/a The Perth Mint)</v>
      </c>
      <c r="S148" s="222" t="str">
        <f t="shared" ca="1" si="21"/>
        <v>AU</v>
      </c>
      <c r="T148" s="222" t="str">
        <f ca="1">IF(B148="","",IF(ISERROR(MATCH($J148,SorP!$B$1:$B$6230,0)),"",INDIRECT("'SorP'!$A$"&amp;MATCH($J148,SorP!$B$1:$B$6230,0))))</f>
        <v>AU-WA</v>
      </c>
      <c r="U148" s="238"/>
      <c r="V148" s="270">
        <f>IF(C148="",NA(),MATCH($B148&amp;$C148,'Smelter Look-up'!$J:$J,0))</f>
        <v>291</v>
      </c>
      <c r="W148" s="271"/>
      <c r="X148" s="271">
        <f t="shared" si="22"/>
        <v>0</v>
      </c>
      <c r="Y148" s="271"/>
      <c r="Z148" s="271"/>
      <c r="AB148" s="273" t="str">
        <f t="shared" si="23"/>
        <v>GoldWestern Australian Mint (T/a The Perth Mint)</v>
      </c>
    </row>
    <row r="149" spans="1:28" s="272" customFormat="1" ht="73.8">
      <c r="A149" s="214" t="s">
        <v>789</v>
      </c>
      <c r="B149" s="215" t="s">
        <v>1131</v>
      </c>
      <c r="C149" s="219" t="s">
        <v>2566</v>
      </c>
      <c r="D149" s="278"/>
      <c r="E149" s="215" t="s">
        <v>1096</v>
      </c>
      <c r="F149" s="215" t="s">
        <v>789</v>
      </c>
      <c r="G149" s="215" t="s">
        <v>13459</v>
      </c>
      <c r="H149" s="216">
        <v>0</v>
      </c>
      <c r="I149" s="217" t="s">
        <v>1779</v>
      </c>
      <c r="J149" s="217" t="s">
        <v>1783</v>
      </c>
      <c r="K149" s="268"/>
      <c r="L149" s="268"/>
      <c r="M149" s="268"/>
      <c r="N149" s="268"/>
      <c r="O149" s="268"/>
      <c r="P149" s="218"/>
      <c r="Q149" s="269"/>
      <c r="R149" s="215" t="str">
        <f ca="1">IF(ISERROR($V149),"",OFFSET('Smelter Look-up'!$C$4,$V149-4,0)&amp;"")</f>
        <v>White Solder Metalurgia e Mineracao Ltda.</v>
      </c>
      <c r="S149" s="222" t="str">
        <f t="shared" ca="1" si="21"/>
        <v>BR</v>
      </c>
      <c r="T149" s="222" t="str">
        <f ca="1">IF(B149="","",IF(ISERROR(MATCH($J149,SorP!$B$1:$B$6230,0)),"",INDIRECT("'SorP'!$A$"&amp;MATCH($J149,SorP!$B$1:$B$6230,0))))</f>
        <v>BR-RO</v>
      </c>
      <c r="U149" s="238"/>
      <c r="V149" s="270">
        <f>IF(C149="",NA(),MATCH($B149&amp;$C149,'Smelter Look-up'!$J:$J,0))</f>
        <v>512</v>
      </c>
      <c r="W149" s="271"/>
      <c r="X149" s="271">
        <f t="shared" si="22"/>
        <v>0</v>
      </c>
      <c r="Y149" s="271"/>
      <c r="Z149" s="271"/>
      <c r="AB149" s="273" t="str">
        <f t="shared" si="23"/>
        <v>TinWhite Solder Metalurgia e Mineracao Ltda.</v>
      </c>
    </row>
    <row r="150" spans="1:28" s="272" customFormat="1" ht="86.1">
      <c r="A150" s="214" t="s">
        <v>802</v>
      </c>
      <c r="B150" s="215" t="s">
        <v>1133</v>
      </c>
      <c r="C150" s="219" t="s">
        <v>2575</v>
      </c>
      <c r="D150" s="278"/>
      <c r="E150" s="215" t="s">
        <v>1094</v>
      </c>
      <c r="F150" s="215" t="s">
        <v>802</v>
      </c>
      <c r="G150" s="215" t="s">
        <v>13459</v>
      </c>
      <c r="H150" s="216">
        <v>0</v>
      </c>
      <c r="I150" s="217" t="s">
        <v>1845</v>
      </c>
      <c r="J150" s="217" t="s">
        <v>2847</v>
      </c>
      <c r="K150" s="268"/>
      <c r="L150" s="268"/>
      <c r="M150" s="268"/>
      <c r="N150" s="268"/>
      <c r="O150" s="268"/>
      <c r="P150" s="218"/>
      <c r="Q150" s="269"/>
      <c r="R150" s="215" t="str">
        <f ca="1">IF(ISERROR($V150),"",OFFSET('Smelter Look-up'!$C$4,$V150-4,0)&amp;"")</f>
        <v>Wolfram Bergbau und Hutten AG</v>
      </c>
      <c r="S150" s="222" t="str">
        <f t="shared" ca="1" si="21"/>
        <v>AT</v>
      </c>
      <c r="T150" s="222" t="str">
        <f ca="1">IF(B150="","",IF(ISERROR(MATCH($J150,SorP!$B$1:$B$6230,0)),"",INDIRECT("'SorP'!$A$"&amp;MATCH($J150,SorP!$B$1:$B$6230,0))))</f>
        <v>AT-6</v>
      </c>
      <c r="U150" s="238"/>
      <c r="V150" s="270">
        <f>IF(C150="",NA(),MATCH($B150&amp;$C150,'Smelter Look-up'!$J:$J,0))</f>
        <v>600</v>
      </c>
      <c r="W150" s="271"/>
      <c r="X150" s="271">
        <f t="shared" si="22"/>
        <v>0</v>
      </c>
      <c r="Y150" s="271"/>
      <c r="Z150" s="271"/>
      <c r="AB150" s="273" t="str">
        <f t="shared" si="23"/>
        <v>TungstenWolfram Bergbau und Hutten AG</v>
      </c>
    </row>
    <row r="151" spans="1:28" s="272" customFormat="1" ht="61.5">
      <c r="A151" s="214" t="s">
        <v>803</v>
      </c>
      <c r="B151" s="215" t="s">
        <v>1133</v>
      </c>
      <c r="C151" s="219" t="s">
        <v>1383</v>
      </c>
      <c r="D151" s="278"/>
      <c r="E151" s="215" t="s">
        <v>1100</v>
      </c>
      <c r="F151" s="215" t="s">
        <v>803</v>
      </c>
      <c r="G151" s="215" t="s">
        <v>13459</v>
      </c>
      <c r="H151" s="216">
        <v>0</v>
      </c>
      <c r="I151" s="217" t="s">
        <v>1848</v>
      </c>
      <c r="J151" s="217" t="s">
        <v>13841</v>
      </c>
      <c r="K151" s="268"/>
      <c r="L151" s="268"/>
      <c r="M151" s="268"/>
      <c r="N151" s="268"/>
      <c r="O151" s="268"/>
      <c r="P151" s="218"/>
      <c r="Q151" s="269"/>
      <c r="R151" s="215" t="str">
        <f ca="1">IF(ISERROR($V151),"",OFFSET('Smelter Look-up'!$C$4,$V151-4,0)&amp;"")</f>
        <v>Xiamen Tungsten Co., Ltd.</v>
      </c>
      <c r="S151" s="222" t="str">
        <f t="shared" ca="1" si="21"/>
        <v>CN</v>
      </c>
      <c r="T151" s="222" t="str">
        <f ca="1">IF(B151="","",IF(ISERROR(MATCH($J151,SorP!$B$1:$B$6230,0)),"",INDIRECT("'SorP'!$A$"&amp;MATCH($J151,SorP!$B$1:$B$6230,0))))</f>
        <v>CN-FJ</v>
      </c>
      <c r="U151" s="238"/>
      <c r="V151" s="270">
        <f>IF(C151="",NA(),MATCH($B151&amp;$C151,'Smelter Look-up'!$J:$J,0))</f>
        <v>605</v>
      </c>
      <c r="W151" s="271"/>
      <c r="X151" s="271">
        <f t="shared" si="22"/>
        <v>0</v>
      </c>
      <c r="Y151" s="271"/>
      <c r="Z151" s="271"/>
      <c r="AB151" s="273" t="str">
        <f t="shared" si="23"/>
        <v>TungstenXiamen Tungsten Co., Ltd.</v>
      </c>
    </row>
    <row r="152" spans="1:28" s="272" customFormat="1" ht="98.4">
      <c r="A152" s="214" t="s">
        <v>15625</v>
      </c>
      <c r="B152" s="215" t="s">
        <v>1133</v>
      </c>
      <c r="C152" s="219" t="s">
        <v>15626</v>
      </c>
      <c r="D152" s="278"/>
      <c r="E152" s="215" t="s">
        <v>1100</v>
      </c>
      <c r="F152" s="215" t="s">
        <v>15625</v>
      </c>
      <c r="G152" s="215" t="s">
        <v>13459</v>
      </c>
      <c r="H152" s="216">
        <v>0</v>
      </c>
      <c r="I152" s="217" t="s">
        <v>15627</v>
      </c>
      <c r="J152" s="217" t="s">
        <v>13847</v>
      </c>
      <c r="K152" s="268"/>
      <c r="L152" s="268"/>
      <c r="M152" s="268"/>
      <c r="N152" s="268"/>
      <c r="O152" s="268"/>
      <c r="P152" s="218"/>
      <c r="Q152" s="269"/>
      <c r="R152" s="215" t="str">
        <f ca="1">IF(ISERROR($V152),"",OFFSET('Smelter Look-up'!$C$4,$V152-4,0)&amp;"")</f>
        <v/>
      </c>
      <c r="S152" s="222" t="str">
        <f t="shared" ca="1" si="21"/>
        <v>CN</v>
      </c>
      <c r="T152" s="222" t="str">
        <f ca="1">IF(B152="","",IF(ISERROR(MATCH($J152,SorP!$B$1:$B$6230,0)),"",INDIRECT("'SorP'!$A$"&amp;MATCH($J152,SorP!$B$1:$B$6230,0))))</f>
        <v>CN-GD</v>
      </c>
      <c r="U152" s="238"/>
      <c r="V152" s="270" t="e">
        <f>IF(C152="",NA(),MATCH($B152&amp;$C152,'Smelter Look-up'!$J:$J,0))</f>
        <v>#N/A</v>
      </c>
      <c r="W152" s="271"/>
      <c r="X152" s="271">
        <f t="shared" si="22"/>
        <v>0</v>
      </c>
      <c r="Y152" s="271"/>
      <c r="Z152" s="271"/>
      <c r="AB152" s="273" t="str">
        <f t="shared" si="23"/>
        <v>TungstenXinhai Rendan Shaoguan Tungsten Co., Ltd.</v>
      </c>
    </row>
    <row r="153" spans="1:28" s="272" customFormat="1" ht="36.9">
      <c r="A153" s="214" t="s">
        <v>742</v>
      </c>
      <c r="B153" s="215" t="s">
        <v>1130</v>
      </c>
      <c r="C153" s="219" t="s">
        <v>13143</v>
      </c>
      <c r="D153" s="278"/>
      <c r="E153" s="215" t="s">
        <v>1108</v>
      </c>
      <c r="F153" s="215" t="s">
        <v>742</v>
      </c>
      <c r="G153" s="215" t="s">
        <v>13459</v>
      </c>
      <c r="H153" s="216">
        <v>0</v>
      </c>
      <c r="I153" s="217" t="s">
        <v>13159</v>
      </c>
      <c r="J153" s="217" t="s">
        <v>6733</v>
      </c>
      <c r="K153" s="268"/>
      <c r="L153" s="268"/>
      <c r="M153" s="268"/>
      <c r="N153" s="268"/>
      <c r="O153" s="268"/>
      <c r="P153" s="218"/>
      <c r="Q153" s="269"/>
      <c r="R153" s="215" t="str">
        <f ca="1">IF(ISERROR($V153),"",OFFSET('Smelter Look-up'!$C$4,$V153-4,0)&amp;"")</f>
        <v>Yamakin Co., Ltd.</v>
      </c>
      <c r="S153" s="222" t="str">
        <f t="shared" ca="1" si="21"/>
        <v>JP</v>
      </c>
      <c r="T153" s="222" t="str">
        <f ca="1">IF(B153="","",IF(ISERROR(MATCH($J153,SorP!$B$1:$B$6230,0)),"",INDIRECT("'SorP'!$A$"&amp;MATCH($J153,SorP!$B$1:$B$6230,0))))</f>
        <v>JP-39</v>
      </c>
      <c r="U153" s="238"/>
      <c r="V153" s="270">
        <f>IF(C153="",NA(),MATCH($B153&amp;$C153,'Smelter Look-up'!$J:$J,0))</f>
        <v>295</v>
      </c>
      <c r="W153" s="271"/>
      <c r="X153" s="271">
        <f t="shared" si="22"/>
        <v>0</v>
      </c>
      <c r="Y153" s="271"/>
      <c r="Z153" s="271"/>
      <c r="AB153" s="273" t="str">
        <f t="shared" si="23"/>
        <v>GoldYamakin Co., Ltd.</v>
      </c>
    </row>
    <row r="154" spans="1:28" s="272" customFormat="1" ht="49.2">
      <c r="A154" s="214" t="s">
        <v>743</v>
      </c>
      <c r="B154" s="215" t="s">
        <v>1130</v>
      </c>
      <c r="C154" s="219" t="s">
        <v>2182</v>
      </c>
      <c r="D154" s="278"/>
      <c r="E154" s="215" t="s">
        <v>1108</v>
      </c>
      <c r="F154" s="215" t="s">
        <v>743</v>
      </c>
      <c r="G154" s="215" t="s">
        <v>13459</v>
      </c>
      <c r="H154" s="216">
        <v>0</v>
      </c>
      <c r="I154" s="217" t="s">
        <v>1694</v>
      </c>
      <c r="J154" s="217" t="s">
        <v>1673</v>
      </c>
      <c r="K154" s="268"/>
      <c r="L154" s="268"/>
      <c r="M154" s="268"/>
      <c r="N154" s="268"/>
      <c r="O154" s="268"/>
      <c r="P154" s="218"/>
      <c r="Q154" s="269"/>
      <c r="R154" s="215" t="str">
        <f ca="1">IF(ISERROR($V154),"",OFFSET('Smelter Look-up'!$C$4,$V154-4,0)&amp;"")</f>
        <v>Yokohama Metal Co., Ltd.</v>
      </c>
      <c r="S154" s="222" t="str">
        <f t="shared" ca="1" si="21"/>
        <v>JP</v>
      </c>
      <c r="T154" s="222" t="str">
        <f ca="1">IF(B154="","",IF(ISERROR(MATCH($J154,SorP!$B$1:$B$6230,0)),"",INDIRECT("'SorP'!$A$"&amp;MATCH($J154,SorP!$B$1:$B$6230,0))))</f>
        <v>JP-14</v>
      </c>
      <c r="U154" s="238"/>
      <c r="V154" s="270">
        <f>IF(C154="",NA(),MATCH($B154&amp;$C154,'Smelter Look-up'!$J:$J,0))</f>
        <v>300</v>
      </c>
      <c r="W154" s="271"/>
      <c r="X154" s="271">
        <f t="shared" si="22"/>
        <v>0</v>
      </c>
      <c r="Y154" s="271"/>
      <c r="Z154" s="271"/>
      <c r="AB154" s="273" t="str">
        <f t="shared" si="23"/>
        <v>GoldYokohama Metal Co., Ltd.</v>
      </c>
    </row>
    <row r="155" spans="1:28" s="272" customFormat="1" ht="86.1">
      <c r="A155" s="214" t="s">
        <v>790</v>
      </c>
      <c r="B155" s="215" t="s">
        <v>1131</v>
      </c>
      <c r="C155" s="219" t="s">
        <v>2183</v>
      </c>
      <c r="D155" s="278"/>
      <c r="E155" s="215" t="s">
        <v>1100</v>
      </c>
      <c r="F155" s="215" t="s">
        <v>790</v>
      </c>
      <c r="G155" s="215" t="s">
        <v>13459</v>
      </c>
      <c r="H155" s="216">
        <v>0</v>
      </c>
      <c r="I155" s="217" t="s">
        <v>2477</v>
      </c>
      <c r="J155" s="217" t="s">
        <v>13851</v>
      </c>
      <c r="K155" s="268"/>
      <c r="L155" s="268"/>
      <c r="M155" s="268"/>
      <c r="N155" s="268"/>
      <c r="O155" s="268"/>
      <c r="P155" s="218"/>
      <c r="Q155" s="269"/>
      <c r="R155" s="215" t="str">
        <f ca="1">IF(ISERROR($V155),"",OFFSET('Smelter Look-up'!$C$4,$V155-4,0)&amp;"")</f>
        <v>Yunnan Chengfeng Non-ferrous Metals Co., Ltd.</v>
      </c>
      <c r="S155" s="222" t="str">
        <f t="shared" ca="1" si="21"/>
        <v>CN</v>
      </c>
      <c r="T155" s="222" t="str">
        <f ca="1">IF(B155="","",IF(ISERROR(MATCH($J155,SorP!$B$1:$B$6230,0)),"",INDIRECT("'SorP'!$A$"&amp;MATCH($J155,SorP!$B$1:$B$6230,0))))</f>
        <v>CN-YN</v>
      </c>
      <c r="U155" s="238"/>
      <c r="V155" s="270">
        <f>IF(C155="",NA(),MATCH($B155&amp;$C155,'Smelter Look-up'!$J:$J,0))</f>
        <v>520</v>
      </c>
      <c r="W155" s="271"/>
      <c r="X155" s="271">
        <f t="shared" si="22"/>
        <v>0</v>
      </c>
      <c r="Y155" s="271"/>
      <c r="Z155" s="271"/>
      <c r="AB155" s="273" t="str">
        <f t="shared" si="23"/>
        <v>TinYunnan Chengfeng Non-ferrous Metals Co., Ltd.</v>
      </c>
    </row>
    <row r="156" spans="1:28" s="272" customFormat="1" ht="61.5">
      <c r="A156" s="214" t="s">
        <v>791</v>
      </c>
      <c r="B156" s="215" t="s">
        <v>1131</v>
      </c>
      <c r="C156" s="219" t="s">
        <v>2370</v>
      </c>
      <c r="D156" s="278"/>
      <c r="E156" s="215" t="s">
        <v>1100</v>
      </c>
      <c r="F156" s="215" t="s">
        <v>791</v>
      </c>
      <c r="G156" s="215" t="s">
        <v>13459</v>
      </c>
      <c r="H156" s="216">
        <v>0</v>
      </c>
      <c r="I156" s="217" t="s">
        <v>2477</v>
      </c>
      <c r="J156" s="217" t="s">
        <v>13851</v>
      </c>
      <c r="K156" s="268"/>
      <c r="L156" s="268"/>
      <c r="M156" s="268"/>
      <c r="N156" s="268"/>
      <c r="O156" s="268"/>
      <c r="P156" s="218"/>
      <c r="Q156" s="269"/>
      <c r="R156" s="215" t="str">
        <f ca="1">IF(ISERROR($V156),"",OFFSET('Smelter Look-up'!$C$4,$V156-4,0)&amp;"")</f>
        <v>Yunnan Tin Company Limited</v>
      </c>
      <c r="S156" s="222" t="str">
        <f t="shared" ca="1" si="21"/>
        <v>CN</v>
      </c>
      <c r="T156" s="222" t="str">
        <f ca="1">IF(B156="","",IF(ISERROR(MATCH($J156,SorP!$B$1:$B$6230,0)),"",INDIRECT("'SorP'!$A$"&amp;MATCH($J156,SorP!$B$1:$B$6230,0))))</f>
        <v>CN-YN</v>
      </c>
      <c r="U156" s="238"/>
      <c r="V156" s="270">
        <f>IF(C156="",NA(),MATCH($B156&amp;$C156,'Smelter Look-up'!$J:$J,0))</f>
        <v>524</v>
      </c>
      <c r="W156" s="271"/>
      <c r="X156" s="271">
        <f t="shared" si="22"/>
        <v>0</v>
      </c>
      <c r="Y156" s="271"/>
      <c r="Z156" s="271"/>
      <c r="AB156" s="273" t="str">
        <f t="shared" si="23"/>
        <v>TinYunnan Tin Company Limited</v>
      </c>
    </row>
    <row r="157" spans="1:28" s="272" customFormat="1" ht="110.7">
      <c r="A157" s="214" t="s">
        <v>745</v>
      </c>
      <c r="B157" s="215" t="s">
        <v>1130</v>
      </c>
      <c r="C157" s="219" t="s">
        <v>1325</v>
      </c>
      <c r="D157" s="278"/>
      <c r="E157" s="215" t="s">
        <v>1100</v>
      </c>
      <c r="F157" s="215" t="s">
        <v>745</v>
      </c>
      <c r="G157" s="215" t="s">
        <v>13459</v>
      </c>
      <c r="H157" s="216">
        <v>0</v>
      </c>
      <c r="I157" s="217" t="s">
        <v>1695</v>
      </c>
      <c r="J157" s="217" t="s">
        <v>13844</v>
      </c>
      <c r="K157" s="268"/>
      <c r="L157" s="268"/>
      <c r="M157" s="268"/>
      <c r="N157" s="268"/>
      <c r="O157" s="268"/>
      <c r="P157" s="218"/>
      <c r="Q157" s="269"/>
      <c r="R157" s="215" t="str">
        <f ca="1">IF(ISERROR($V157),"",OFFSET('Smelter Look-up'!$C$4,$V157-4,0)&amp;"")</f>
        <v>Zhongyuan Gold Smelter of Zhongjin Gold Corporation</v>
      </c>
      <c r="S157" s="222" t="str">
        <f t="shared" ca="1" si="21"/>
        <v>CN</v>
      </c>
      <c r="T157" s="222" t="str">
        <f ca="1">IF(B157="","",IF(ISERROR(MATCH($J157,SorP!$B$1:$B$6230,0)),"",INDIRECT("'SorP'!$A$"&amp;MATCH($J157,SorP!$B$1:$B$6230,0))))</f>
        <v>CN-HA</v>
      </c>
      <c r="U157" s="238"/>
      <c r="V157" s="270">
        <f>IF(C157="",NA(),MATCH($B157&amp;$C157,'Smelter Look-up'!$J:$J,0))</f>
        <v>310</v>
      </c>
      <c r="W157" s="271"/>
      <c r="X157" s="271">
        <f t="shared" si="22"/>
        <v>0</v>
      </c>
      <c r="Y157" s="271"/>
      <c r="Z157" s="271"/>
      <c r="AB157" s="273" t="str">
        <f t="shared" si="23"/>
        <v>GoldZhongyuan Gold Smelter of Zhongjin Gold Corporation</v>
      </c>
    </row>
    <row r="158" spans="1:28" s="272" customFormat="1" ht="86.1">
      <c r="A158" s="214" t="s">
        <v>746</v>
      </c>
      <c r="B158" s="215" t="s">
        <v>1130</v>
      </c>
      <c r="C158" s="219" t="s">
        <v>2527</v>
      </c>
      <c r="D158" s="278"/>
      <c r="E158" s="215" t="s">
        <v>1100</v>
      </c>
      <c r="F158" s="215" t="s">
        <v>746</v>
      </c>
      <c r="G158" s="215" t="s">
        <v>13459</v>
      </c>
      <c r="H158" s="216">
        <v>0</v>
      </c>
      <c r="I158" s="217" t="s">
        <v>1698</v>
      </c>
      <c r="J158" s="217" t="s">
        <v>13841</v>
      </c>
      <c r="K158" s="268"/>
      <c r="L158" s="268"/>
      <c r="M158" s="268"/>
      <c r="N158" s="268"/>
      <c r="O158" s="268"/>
      <c r="P158" s="218"/>
      <c r="Q158" s="269"/>
      <c r="R158" s="215" t="str">
        <f ca="1">IF(ISERROR($V158),"",OFFSET('Smelter Look-up'!$C$4,$V158-4,0)&amp;"")</f>
        <v>Gold Refinery of Zijin Mining Group Co., Ltd.</v>
      </c>
      <c r="S158" s="222" t="str">
        <f t="shared" ca="1" si="21"/>
        <v>CN</v>
      </c>
      <c r="T158" s="222" t="str">
        <f ca="1">IF(B158="","",IF(ISERROR(MATCH($J158,SorP!$B$1:$B$6230,0)),"",INDIRECT("'SorP'!$A$"&amp;MATCH($J158,SorP!$B$1:$B$6230,0))))</f>
        <v>CN-FJ</v>
      </c>
      <c r="U158" s="238"/>
      <c r="V158" s="270">
        <f>IF(C158="",NA(),MATCH($B158&amp;$C158,'Smelter Look-up'!$J:$J,0))</f>
        <v>88</v>
      </c>
      <c r="W158" s="271"/>
      <c r="X158" s="271">
        <f t="shared" si="22"/>
        <v>0</v>
      </c>
      <c r="Y158" s="271"/>
      <c r="Z158" s="271"/>
      <c r="AB158" s="273" t="str">
        <f t="shared" si="23"/>
        <v>GoldGold Refinery of Zijin Mining Group Co., Ltd.</v>
      </c>
    </row>
    <row r="159" spans="1:28" s="272" customFormat="1" ht="86.1">
      <c r="A159" s="214" t="s">
        <v>140</v>
      </c>
      <c r="B159" s="215" t="s">
        <v>1133</v>
      </c>
      <c r="C159" s="219" t="s">
        <v>151</v>
      </c>
      <c r="D159" s="278"/>
      <c r="E159" s="215" t="s">
        <v>1100</v>
      </c>
      <c r="F159" s="215" t="s">
        <v>140</v>
      </c>
      <c r="G159" s="215" t="s">
        <v>13459</v>
      </c>
      <c r="H159" s="216">
        <v>0</v>
      </c>
      <c r="I159" s="217" t="s">
        <v>1787</v>
      </c>
      <c r="J159" s="217" t="s">
        <v>13842</v>
      </c>
      <c r="K159" s="268"/>
      <c r="L159" s="268"/>
      <c r="M159" s="268"/>
      <c r="N159" s="268"/>
      <c r="O159" s="268"/>
      <c r="P159" s="218"/>
      <c r="Q159" s="269"/>
      <c r="R159" s="215" t="str">
        <f ca="1">IF(ISERROR($V159),"",OFFSET('Smelter Look-up'!$C$4,$V159-4,0)&amp;"")</f>
        <v>Ganzhou Jiangwu Ferrotungsten Co., Ltd.</v>
      </c>
      <c r="S159" s="222" t="str">
        <f t="shared" ca="1" si="21"/>
        <v>CN</v>
      </c>
      <c r="T159" s="222" t="str">
        <f ca="1">IF(B159="","",IF(ISERROR(MATCH($J159,SorP!$B$1:$B$6230,0)),"",INDIRECT("'SorP'!$A$"&amp;MATCH($J159,SorP!$B$1:$B$6230,0))))</f>
        <v>CN-JX</v>
      </c>
      <c r="U159" s="238"/>
      <c r="V159" s="270">
        <f>IF(C159="",NA(),MATCH($B159&amp;$C159,'Smelter Look-up'!$J:$J,0))</f>
        <v>557</v>
      </c>
      <c r="W159" s="271"/>
      <c r="X159" s="271">
        <f t="shared" si="22"/>
        <v>0</v>
      </c>
      <c r="Y159" s="271"/>
      <c r="Z159" s="271"/>
      <c r="AB159" s="273" t="str">
        <f t="shared" si="23"/>
        <v>TungstenGanzhou Jiangwu Ferrotungsten Co., Ltd.</v>
      </c>
    </row>
    <row r="160" spans="1:28" s="272" customFormat="1" ht="86.1">
      <c r="A160" s="214" t="s">
        <v>141</v>
      </c>
      <c r="B160" s="215" t="s">
        <v>1133</v>
      </c>
      <c r="C160" s="219" t="s">
        <v>152</v>
      </c>
      <c r="D160" s="278"/>
      <c r="E160" s="215" t="s">
        <v>1100</v>
      </c>
      <c r="F160" s="215" t="s">
        <v>141</v>
      </c>
      <c r="G160" s="215" t="s">
        <v>13459</v>
      </c>
      <c r="H160" s="216">
        <v>0</v>
      </c>
      <c r="I160" s="217" t="s">
        <v>1787</v>
      </c>
      <c r="J160" s="217" t="s">
        <v>13842</v>
      </c>
      <c r="K160" s="268"/>
      <c r="L160" s="268"/>
      <c r="M160" s="268"/>
      <c r="N160" s="268"/>
      <c r="O160" s="268"/>
      <c r="P160" s="218"/>
      <c r="Q160" s="269"/>
      <c r="R160" s="215" t="str">
        <f ca="1">IF(ISERROR($V160),"",OFFSET('Smelter Look-up'!$C$4,$V160-4,0)&amp;"")</f>
        <v>Jiangxi Yaosheng Tungsten Co., Ltd.</v>
      </c>
      <c r="S160" s="222" t="str">
        <f t="shared" ca="1" si="21"/>
        <v>CN</v>
      </c>
      <c r="T160" s="222" t="str">
        <f ca="1">IF(B160="","",IF(ISERROR(MATCH($J160,SorP!$B$1:$B$6230,0)),"",INDIRECT("'SorP'!$A$"&amp;MATCH($J160,SorP!$B$1:$B$6230,0))))</f>
        <v>CN-JX</v>
      </c>
      <c r="U160" s="238"/>
      <c r="V160" s="270">
        <f>IF(C160="",NA(),MATCH($B160&amp;$C160,'Smelter Look-up'!$J:$J,0))</f>
        <v>580</v>
      </c>
      <c r="W160" s="271"/>
      <c r="X160" s="271">
        <f t="shared" si="22"/>
        <v>0</v>
      </c>
      <c r="Y160" s="271"/>
      <c r="Z160" s="271"/>
      <c r="AB160" s="273" t="str">
        <f t="shared" si="23"/>
        <v>TungstenJiangxi Yaosheng Tungsten Co., Ltd.</v>
      </c>
    </row>
    <row r="161" spans="1:28" s="272" customFormat="1" ht="98.4">
      <c r="A161" s="214" t="s">
        <v>142</v>
      </c>
      <c r="B161" s="215" t="s">
        <v>1133</v>
      </c>
      <c r="C161" s="219" t="s">
        <v>153</v>
      </c>
      <c r="D161" s="278"/>
      <c r="E161" s="215" t="s">
        <v>1100</v>
      </c>
      <c r="F161" s="215" t="s">
        <v>142</v>
      </c>
      <c r="G161" s="215" t="s">
        <v>13459</v>
      </c>
      <c r="H161" s="216">
        <v>0</v>
      </c>
      <c r="I161" s="217" t="s">
        <v>1787</v>
      </c>
      <c r="J161" s="217" t="s">
        <v>13842</v>
      </c>
      <c r="K161" s="268"/>
      <c r="L161" s="268"/>
      <c r="M161" s="268"/>
      <c r="N161" s="268"/>
      <c r="O161" s="268"/>
      <c r="P161" s="218"/>
      <c r="Q161" s="269"/>
      <c r="R161" s="215" t="str">
        <f ca="1">IF(ISERROR($V161),"",OFFSET('Smelter Look-up'!$C$4,$V161-4,0)&amp;"")</f>
        <v>Jiangxi Xinsheng Tungsten Industry Co., Ltd.</v>
      </c>
      <c r="S161" s="222" t="str">
        <f t="shared" ca="1" si="21"/>
        <v>CN</v>
      </c>
      <c r="T161" s="222" t="str">
        <f ca="1">IF(B161="","",IF(ISERROR(MATCH($J161,SorP!$B$1:$B$6230,0)),"",INDIRECT("'SorP'!$A$"&amp;MATCH($J161,SorP!$B$1:$B$6230,0))))</f>
        <v>CN-JX</v>
      </c>
      <c r="U161" s="238"/>
      <c r="V161" s="270">
        <f>IF(C161="",NA(),MATCH($B161&amp;$C161,'Smelter Look-up'!$J:$J,0))</f>
        <v>579</v>
      </c>
      <c r="W161" s="271"/>
      <c r="X161" s="271">
        <f t="shared" si="22"/>
        <v>0</v>
      </c>
      <c r="Y161" s="271"/>
      <c r="Z161" s="271"/>
      <c r="AB161" s="273" t="str">
        <f t="shared" si="23"/>
        <v>TungstenJiangxi Xinsheng Tungsten Industry Co., Ltd.</v>
      </c>
    </row>
    <row r="162" spans="1:28" s="272" customFormat="1" ht="123">
      <c r="A162" s="214" t="s">
        <v>143</v>
      </c>
      <c r="B162" s="215" t="s">
        <v>1133</v>
      </c>
      <c r="C162" s="219" t="s">
        <v>154</v>
      </c>
      <c r="D162" s="278"/>
      <c r="E162" s="215" t="s">
        <v>1100</v>
      </c>
      <c r="F162" s="215" t="s">
        <v>143</v>
      </c>
      <c r="G162" s="215" t="s">
        <v>13459</v>
      </c>
      <c r="H162" s="216">
        <v>0</v>
      </c>
      <c r="I162" s="217" t="s">
        <v>1850</v>
      </c>
      <c r="J162" s="217" t="s">
        <v>13842</v>
      </c>
      <c r="K162" s="268"/>
      <c r="L162" s="268"/>
      <c r="M162" s="268"/>
      <c r="N162" s="268"/>
      <c r="O162" s="268"/>
      <c r="P162" s="218"/>
      <c r="Q162" s="269"/>
      <c r="R162" s="215" t="str">
        <f ca="1">IF(ISERROR($V162),"",OFFSET('Smelter Look-up'!$C$4,$V162-4,0)&amp;"")</f>
        <v>Jiangxi Tonggu Non-ferrous Metallurgical &amp; Chemical Co., Ltd.</v>
      </c>
      <c r="S162" s="222" t="str">
        <f t="shared" ca="1" si="21"/>
        <v>CN</v>
      </c>
      <c r="T162" s="222" t="str">
        <f ca="1">IF(B162="","",IF(ISERROR(MATCH($J162,SorP!$B$1:$B$6230,0)),"",INDIRECT("'SorP'!$A$"&amp;MATCH($J162,SorP!$B$1:$B$6230,0))))</f>
        <v>CN-JX</v>
      </c>
      <c r="U162" s="238"/>
      <c r="V162" s="270">
        <f>IF(C162="",NA(),MATCH($B162&amp;$C162,'Smelter Look-up'!$J:$J,0))</f>
        <v>576</v>
      </c>
      <c r="W162" s="271"/>
      <c r="X162" s="271">
        <f t="shared" si="22"/>
        <v>0</v>
      </c>
      <c r="Y162" s="271"/>
      <c r="Z162" s="271"/>
      <c r="AB162" s="273" t="str">
        <f t="shared" si="23"/>
        <v>TungstenJiangxi Tonggu Non-ferrous Metallurgical &amp; Chemical Co., Ltd.</v>
      </c>
    </row>
    <row r="163" spans="1:28" s="272" customFormat="1" ht="73.8">
      <c r="A163" s="214" t="s">
        <v>144</v>
      </c>
      <c r="B163" s="215" t="s">
        <v>1133</v>
      </c>
      <c r="C163" s="219" t="s">
        <v>155</v>
      </c>
      <c r="D163" s="278"/>
      <c r="E163" s="215" t="s">
        <v>1100</v>
      </c>
      <c r="F163" s="215" t="s">
        <v>144</v>
      </c>
      <c r="G163" s="215" t="s">
        <v>13459</v>
      </c>
      <c r="H163" s="216">
        <v>0</v>
      </c>
      <c r="I163" s="217" t="s">
        <v>1851</v>
      </c>
      <c r="J163" s="217" t="s">
        <v>13851</v>
      </c>
      <c r="K163" s="268"/>
      <c r="L163" s="268"/>
      <c r="M163" s="268"/>
      <c r="N163" s="268"/>
      <c r="O163" s="268"/>
      <c r="P163" s="218"/>
      <c r="Q163" s="269"/>
      <c r="R163" s="215" t="str">
        <f ca="1">IF(ISERROR($V163),"",OFFSET('Smelter Look-up'!$C$4,$V163-4,0)&amp;"")</f>
        <v>Malipo Haiyu Tungsten Co., Ltd.</v>
      </c>
      <c r="S163" s="222" t="str">
        <f t="shared" ca="1" si="21"/>
        <v>CN</v>
      </c>
      <c r="T163" s="222" t="str">
        <f ca="1">IF(B163="","",IF(ISERROR(MATCH($J163,SorP!$B$1:$B$6230,0)),"",INDIRECT("'SorP'!$A$"&amp;MATCH($J163,SorP!$B$1:$B$6230,0))))</f>
        <v>CN-YN</v>
      </c>
      <c r="U163" s="238"/>
      <c r="V163" s="270">
        <f>IF(C163="",NA(),MATCH($B163&amp;$C163,'Smelter Look-up'!$J:$J,0))</f>
        <v>586</v>
      </c>
      <c r="W163" s="271"/>
      <c r="X163" s="271">
        <f t="shared" si="22"/>
        <v>0</v>
      </c>
      <c r="Y163" s="271"/>
      <c r="Z163" s="271"/>
      <c r="AB163" s="273" t="str">
        <f t="shared" si="23"/>
        <v>TungstenMalipo Haiyu Tungsten Co., Ltd.</v>
      </c>
    </row>
    <row r="164" spans="1:28" s="272" customFormat="1" ht="61.5">
      <c r="A164" s="214" t="s">
        <v>145</v>
      </c>
      <c r="B164" s="215" t="s">
        <v>1133</v>
      </c>
      <c r="C164" s="219" t="s">
        <v>156</v>
      </c>
      <c r="D164" s="278"/>
      <c r="E164" s="215" t="s">
        <v>1100</v>
      </c>
      <c r="F164" s="215" t="s">
        <v>145</v>
      </c>
      <c r="G164" s="215" t="s">
        <v>13459</v>
      </c>
      <c r="H164" s="216">
        <v>0</v>
      </c>
      <c r="I164" s="217" t="s">
        <v>1848</v>
      </c>
      <c r="J164" s="217" t="s">
        <v>13841</v>
      </c>
      <c r="K164" s="268"/>
      <c r="L164" s="268"/>
      <c r="M164" s="268"/>
      <c r="N164" s="268"/>
      <c r="O164" s="268"/>
      <c r="P164" s="218"/>
      <c r="Q164" s="269"/>
      <c r="R164" s="215" t="str">
        <f ca="1">IF(ISERROR($V164),"",OFFSET('Smelter Look-up'!$C$4,$V164-4,0)&amp;"")</f>
        <v>Xiamen Tungsten (H.C.) Co., Ltd.</v>
      </c>
      <c r="S164" s="222" t="str">
        <f t="shared" ca="1" si="21"/>
        <v>CN</v>
      </c>
      <c r="T164" s="222" t="str">
        <f ca="1">IF(B164="","",IF(ISERROR(MATCH($J164,SorP!$B$1:$B$6230,0)),"",INDIRECT("'SorP'!$A$"&amp;MATCH($J164,SorP!$B$1:$B$6230,0))))</f>
        <v>CN-FJ</v>
      </c>
      <c r="U164" s="238"/>
      <c r="V164" s="270">
        <f>IF(C164="",NA(),MATCH($B164&amp;$C164,'Smelter Look-up'!$J:$J,0))</f>
        <v>604</v>
      </c>
      <c r="W164" s="271"/>
      <c r="X164" s="271">
        <f t="shared" si="22"/>
        <v>0</v>
      </c>
      <c r="Y164" s="271"/>
      <c r="Z164" s="271"/>
      <c r="AB164" s="273" t="str">
        <f t="shared" si="23"/>
        <v>TungstenXiamen Tungsten (H.C.) Co., Ltd.</v>
      </c>
    </row>
    <row r="165" spans="1:28" s="272" customFormat="1" ht="73.8">
      <c r="A165" s="214" t="s">
        <v>138</v>
      </c>
      <c r="B165" s="215" t="s">
        <v>1133</v>
      </c>
      <c r="C165" s="219" t="s">
        <v>157</v>
      </c>
      <c r="D165" s="278"/>
      <c r="E165" s="215" t="s">
        <v>1100</v>
      </c>
      <c r="F165" s="215" t="s">
        <v>138</v>
      </c>
      <c r="G165" s="215" t="s">
        <v>13459</v>
      </c>
      <c r="H165" s="216">
        <v>0</v>
      </c>
      <c r="I165" s="217" t="s">
        <v>1853</v>
      </c>
      <c r="J165" s="217" t="s">
        <v>13842</v>
      </c>
      <c r="K165" s="268"/>
      <c r="L165" s="268"/>
      <c r="M165" s="268"/>
      <c r="N165" s="268"/>
      <c r="O165" s="268"/>
      <c r="P165" s="218"/>
      <c r="Q165" s="269"/>
      <c r="R165" s="215" t="str">
        <f ca="1">IF(ISERROR($V165),"",OFFSET('Smelter Look-up'!$C$4,$V165-4,0)&amp;"")</f>
        <v>Jiangxi Gan Bei Tungsten Co., Ltd.</v>
      </c>
      <c r="S165" s="222" t="str">
        <f t="shared" ca="1" si="21"/>
        <v>CN</v>
      </c>
      <c r="T165" s="222" t="str">
        <f ca="1">IF(B165="","",IF(ISERROR(MATCH($J165,SorP!$B$1:$B$6230,0)),"",INDIRECT("'SorP'!$A$"&amp;MATCH($J165,SorP!$B$1:$B$6230,0))))</f>
        <v>CN-JX</v>
      </c>
      <c r="U165" s="238"/>
      <c r="V165" s="270">
        <f>IF(C165="",NA(),MATCH($B165&amp;$C165,'Smelter Look-up'!$J:$J,0))</f>
        <v>574</v>
      </c>
      <c r="W165" s="271"/>
      <c r="X165" s="271">
        <f t="shared" si="22"/>
        <v>0</v>
      </c>
      <c r="Y165" s="271"/>
      <c r="Z165" s="271"/>
      <c r="AB165" s="273" t="str">
        <f t="shared" si="23"/>
        <v>TungstenJiangxi Gan Bei Tungsten Co., Ltd.</v>
      </c>
    </row>
    <row r="166" spans="1:28" s="272" customFormat="1" ht="61.5">
      <c r="A166" s="214" t="s">
        <v>1703</v>
      </c>
      <c r="B166" s="215" t="s">
        <v>1130</v>
      </c>
      <c r="C166" s="219" t="s">
        <v>1702</v>
      </c>
      <c r="D166" s="278"/>
      <c r="E166" s="215" t="s">
        <v>2463</v>
      </c>
      <c r="F166" s="215" t="s">
        <v>1703</v>
      </c>
      <c r="G166" s="215" t="s">
        <v>13459</v>
      </c>
      <c r="H166" s="216">
        <v>0</v>
      </c>
      <c r="I166" s="217" t="s">
        <v>1545</v>
      </c>
      <c r="J166" s="217" t="s">
        <v>1546</v>
      </c>
      <c r="K166" s="268"/>
      <c r="L166" s="268"/>
      <c r="M166" s="268"/>
      <c r="N166" s="268"/>
      <c r="O166" s="268"/>
      <c r="P166" s="218"/>
      <c r="Q166" s="269"/>
      <c r="R166" s="215" t="str">
        <f ca="1">IF(ISERROR($V166),"",OFFSET('Smelter Look-up'!$C$4,$V166-4,0)&amp;"")</f>
        <v>Geib Refining Corporation</v>
      </c>
      <c r="S166" s="222" t="str">
        <f t="shared" ref="S166:S196" ca="1" si="24">IF(B166="","",IF(ISERROR(MATCH($E166,CL,0)),"Unknown",INDIRECT("'C'!$A$"&amp;MATCH($E166,CL,0)+1)))</f>
        <v>US</v>
      </c>
      <c r="T166" s="222" t="str">
        <f ca="1">IF(B166="","",IF(ISERROR(MATCH($J166,SorP!$B$1:$B$6230,0)),"",INDIRECT("'SorP'!$A$"&amp;MATCH($J166,SorP!$B$1:$B$6230,0))))</f>
        <v>US-RI</v>
      </c>
      <c r="U166" s="238"/>
      <c r="V166" s="270">
        <f>IF(C166="",NA(),MATCH($B166&amp;$C166,'Smelter Look-up'!$J:$J,0))</f>
        <v>85</v>
      </c>
      <c r="W166" s="271"/>
      <c r="X166" s="271">
        <f t="shared" ref="X166:X196" si="25">IF(AND(C166="Smelter not listed",OR(LEN(D166)=0,LEN(E166)=0)),1,0)</f>
        <v>0</v>
      </c>
      <c r="Y166" s="271"/>
      <c r="Z166" s="271"/>
      <c r="AB166" s="273" t="str">
        <f t="shared" ref="AB166:AB196" si="26">B166&amp;C166</f>
        <v>GoldGeib Refining Corporation</v>
      </c>
    </row>
    <row r="167" spans="1:28" s="272" customFormat="1" ht="73.8">
      <c r="A167" s="214" t="s">
        <v>139</v>
      </c>
      <c r="B167" s="215" t="s">
        <v>1131</v>
      </c>
      <c r="C167" s="219" t="s">
        <v>2184</v>
      </c>
      <c r="D167" s="278"/>
      <c r="E167" s="215" t="s">
        <v>1096</v>
      </c>
      <c r="F167" s="215" t="s">
        <v>139</v>
      </c>
      <c r="G167" s="215" t="s">
        <v>13459</v>
      </c>
      <c r="H167" s="216">
        <v>0</v>
      </c>
      <c r="I167" s="217" t="s">
        <v>1732</v>
      </c>
      <c r="J167" s="217" t="s">
        <v>1554</v>
      </c>
      <c r="K167" s="268"/>
      <c r="L167" s="268"/>
      <c r="M167" s="268"/>
      <c r="N167" s="268"/>
      <c r="O167" s="268"/>
      <c r="P167" s="218"/>
      <c r="Q167" s="269"/>
      <c r="R167" s="215" t="str">
        <f ca="1">IF(ISERROR($V167),"",OFFSET('Smelter Look-up'!$C$4,$V167-4,0)&amp;"")</f>
        <v>Magnu's Minerais Metais e Ligas Ltda.</v>
      </c>
      <c r="S167" s="222" t="str">
        <f t="shared" ca="1" si="24"/>
        <v>BR</v>
      </c>
      <c r="T167" s="222" t="str">
        <f ca="1">IF(B167="","",IF(ISERROR(MATCH($J167,SorP!$B$1:$B$6230,0)),"",INDIRECT("'SorP'!$A$"&amp;MATCH($J167,SorP!$B$1:$B$6230,0))))</f>
        <v>BR-MG</v>
      </c>
      <c r="U167" s="238"/>
      <c r="V167" s="270">
        <f>IF(C167="",NA(),MATCH($B167&amp;$C167,'Smelter Look-up'!$J:$J,0))</f>
        <v>448</v>
      </c>
      <c r="W167" s="271"/>
      <c r="X167" s="271">
        <f t="shared" si="25"/>
        <v>0</v>
      </c>
      <c r="Y167" s="271"/>
      <c r="Z167" s="271"/>
      <c r="AB167" s="273" t="str">
        <f t="shared" si="26"/>
        <v>TinMagnu's Minerais Metais e Ligas Ltda.</v>
      </c>
    </row>
    <row r="168" spans="1:28" s="272" customFormat="1" ht="98.4">
      <c r="A168" s="214" t="s">
        <v>396</v>
      </c>
      <c r="B168" s="215" t="s">
        <v>1132</v>
      </c>
      <c r="C168" s="219" t="s">
        <v>3</v>
      </c>
      <c r="D168" s="278"/>
      <c r="E168" s="215" t="s">
        <v>1100</v>
      </c>
      <c r="F168" s="215" t="s">
        <v>396</v>
      </c>
      <c r="G168" s="215" t="s">
        <v>13459</v>
      </c>
      <c r="H168" s="216">
        <v>0</v>
      </c>
      <c r="I168" s="217" t="s">
        <v>1752</v>
      </c>
      <c r="J168" s="217" t="s">
        <v>13846</v>
      </c>
      <c r="K168" s="268"/>
      <c r="L168" s="268"/>
      <c r="M168" s="268"/>
      <c r="N168" s="268"/>
      <c r="O168" s="268"/>
      <c r="P168" s="218"/>
      <c r="Q168" s="269"/>
      <c r="R168" s="215" t="str">
        <f ca="1">IF(ISERROR($V168),"",OFFSET('Smelter Look-up'!$C$4,$V168-4,0)&amp;"")</f>
        <v>Hengyang King Xing Lifeng New Materials Co., Ltd.</v>
      </c>
      <c r="S168" s="222" t="str">
        <f t="shared" ca="1" si="24"/>
        <v>CN</v>
      </c>
      <c r="T168" s="222" t="str">
        <f ca="1">IF(B168="","",IF(ISERROR(MATCH($J168,SorP!$B$1:$B$6230,0)),"",INDIRECT("'SorP'!$A$"&amp;MATCH($J168,SorP!$B$1:$B$6230,0))))</f>
        <v>CN-HN</v>
      </c>
      <c r="U168" s="238"/>
      <c r="V168" s="270">
        <f>IF(C168="",NA(),MATCH($B168&amp;$C168,'Smelter Look-up'!$J:$J,0))</f>
        <v>332</v>
      </c>
      <c r="W168" s="271"/>
      <c r="X168" s="271">
        <f t="shared" si="25"/>
        <v>0</v>
      </c>
      <c r="Y168" s="271"/>
      <c r="Z168" s="271"/>
      <c r="AB168" s="273" t="str">
        <f t="shared" si="26"/>
        <v>TantalumHengyang King Xing Lifeng New Materials Co., Ltd.</v>
      </c>
    </row>
    <row r="169" spans="1:28" s="272" customFormat="1" ht="86.1">
      <c r="A169" s="214" t="s">
        <v>393</v>
      </c>
      <c r="B169" s="215" t="s">
        <v>1133</v>
      </c>
      <c r="C169" s="219" t="s">
        <v>392</v>
      </c>
      <c r="D169" s="278"/>
      <c r="E169" s="215" t="s">
        <v>1100</v>
      </c>
      <c r="F169" s="215" t="s">
        <v>393</v>
      </c>
      <c r="G169" s="215" t="s">
        <v>13459</v>
      </c>
      <c r="H169" s="216">
        <v>0</v>
      </c>
      <c r="I169" s="217" t="s">
        <v>1787</v>
      </c>
      <c r="J169" s="217" t="s">
        <v>13842</v>
      </c>
      <c r="K169" s="268"/>
      <c r="L169" s="268"/>
      <c r="M169" s="268"/>
      <c r="N169" s="268"/>
      <c r="O169" s="268"/>
      <c r="P169" s="218"/>
      <c r="Q169" s="269"/>
      <c r="R169" s="215" t="str">
        <f ca="1">IF(ISERROR($V169),"",OFFSET('Smelter Look-up'!$C$4,$V169-4,0)&amp;"")</f>
        <v>Ganzhou Seadragon W &amp; Mo Co., Ltd.</v>
      </c>
      <c r="S169" s="222" t="str">
        <f t="shared" ca="1" si="24"/>
        <v>CN</v>
      </c>
      <c r="T169" s="222" t="str">
        <f ca="1">IF(B169="","",IF(ISERROR(MATCH($J169,SorP!$B$1:$B$6230,0)),"",INDIRECT("'SorP'!$A$"&amp;MATCH($J169,SorP!$B$1:$B$6230,0))))</f>
        <v>CN-JX</v>
      </c>
      <c r="U169" s="238"/>
      <c r="V169" s="270">
        <f>IF(C169="",NA(),MATCH($B169&amp;$C169,'Smelter Look-up'!$J:$J,0))</f>
        <v>558</v>
      </c>
      <c r="W169" s="271"/>
      <c r="X169" s="271">
        <f t="shared" si="25"/>
        <v>0</v>
      </c>
      <c r="Y169" s="271"/>
      <c r="Z169" s="271"/>
      <c r="AB169" s="273" t="str">
        <f t="shared" si="26"/>
        <v>TungstenGanzhou Seadragon W &amp; Mo Co., Ltd.</v>
      </c>
    </row>
    <row r="170" spans="1:28" s="272" customFormat="1" ht="49.2">
      <c r="A170" s="214" t="s">
        <v>1326</v>
      </c>
      <c r="B170" s="215" t="s">
        <v>1131</v>
      </c>
      <c r="C170" s="219" t="s">
        <v>2367</v>
      </c>
      <c r="D170" s="278"/>
      <c r="E170" s="215" t="s">
        <v>1096</v>
      </c>
      <c r="F170" s="215" t="s">
        <v>1326</v>
      </c>
      <c r="G170" s="215" t="s">
        <v>13459</v>
      </c>
      <c r="H170" s="216">
        <v>0</v>
      </c>
      <c r="I170" s="217" t="s">
        <v>1779</v>
      </c>
      <c r="J170" s="217" t="s">
        <v>1783</v>
      </c>
      <c r="K170" s="268"/>
      <c r="L170" s="268"/>
      <c r="M170" s="268"/>
      <c r="N170" s="268"/>
      <c r="O170" s="268"/>
      <c r="P170" s="218"/>
      <c r="Q170" s="269"/>
      <c r="R170" s="215" t="str">
        <f ca="1">IF(ISERROR($V170),"",OFFSET('Smelter Look-up'!$C$4,$V170-4,0)&amp;"")</f>
        <v>Melt Metais e Ligas S.A.</v>
      </c>
      <c r="S170" s="222" t="str">
        <f t="shared" ca="1" si="24"/>
        <v>BR</v>
      </c>
      <c r="T170" s="222" t="str">
        <f ca="1">IF(B170="","",IF(ISERROR(MATCH($J170,SorP!$B$1:$B$6230,0)),"",INDIRECT("'SorP'!$A$"&amp;MATCH($J170,SorP!$B$1:$B$6230,0))))</f>
        <v>BR-RO</v>
      </c>
      <c r="U170" s="238"/>
      <c r="V170" s="270">
        <f>IF(C170="",NA(),MATCH($B170&amp;$C170,'Smelter Look-up'!$J:$J,0))</f>
        <v>450</v>
      </c>
      <c r="W170" s="271"/>
      <c r="X170" s="271">
        <f t="shared" si="25"/>
        <v>0</v>
      </c>
      <c r="Y170" s="271"/>
      <c r="Z170" s="271"/>
      <c r="AB170" s="273" t="str">
        <f t="shared" si="26"/>
        <v>TinMelt Metais e Ligas S.A.</v>
      </c>
    </row>
    <row r="171" spans="1:28" s="272" customFormat="1" ht="61.5">
      <c r="A171" s="214" t="s">
        <v>1397</v>
      </c>
      <c r="B171" s="215" t="s">
        <v>1132</v>
      </c>
      <c r="C171" s="219" t="s">
        <v>2185</v>
      </c>
      <c r="D171" s="278"/>
      <c r="E171" s="215" t="s">
        <v>1100</v>
      </c>
      <c r="F171" s="215" t="s">
        <v>1397</v>
      </c>
      <c r="G171" s="215" t="s">
        <v>13459</v>
      </c>
      <c r="H171" s="216">
        <v>0</v>
      </c>
      <c r="I171" s="217" t="s">
        <v>1744</v>
      </c>
      <c r="J171" s="217" t="s">
        <v>13846</v>
      </c>
      <c r="K171" s="268"/>
      <c r="L171" s="268"/>
      <c r="M171" s="268"/>
      <c r="N171" s="268"/>
      <c r="O171" s="268"/>
      <c r="P171" s="218"/>
      <c r="Q171" s="269"/>
      <c r="R171" s="215" t="str">
        <f ca="1">IF(ISERROR($V171),"",OFFSET('Smelter Look-up'!$C$4,$V171-4,0)&amp;"")</f>
        <v>FIR Metals &amp; Resource Ltd.</v>
      </c>
      <c r="S171" s="222" t="str">
        <f t="shared" ca="1" si="24"/>
        <v>CN</v>
      </c>
      <c r="T171" s="222" t="str">
        <f ca="1">IF(B171="","",IF(ISERROR(MATCH($J171,SorP!$B$1:$B$6230,0)),"",INDIRECT("'SorP'!$A$"&amp;MATCH($J171,SorP!$B$1:$B$6230,0))))</f>
        <v>CN-HN</v>
      </c>
      <c r="U171" s="238"/>
      <c r="V171" s="270">
        <f>IF(C171="",NA(),MATCH($B171&amp;$C171,'Smelter Look-up'!$J:$J,0))</f>
        <v>322</v>
      </c>
      <c r="W171" s="271"/>
      <c r="X171" s="271">
        <f t="shared" si="25"/>
        <v>0</v>
      </c>
      <c r="Y171" s="271"/>
      <c r="Z171" s="271"/>
      <c r="AB171" s="273" t="str">
        <f t="shared" si="26"/>
        <v>TantalumFIR Metals &amp; Resource Ltd.</v>
      </c>
    </row>
    <row r="172" spans="1:28" s="272" customFormat="1" ht="98.4">
      <c r="A172" s="214" t="s">
        <v>1399</v>
      </c>
      <c r="B172" s="215" t="s">
        <v>1132</v>
      </c>
      <c r="C172" s="219" t="s">
        <v>2186</v>
      </c>
      <c r="D172" s="278"/>
      <c r="E172" s="215" t="s">
        <v>1100</v>
      </c>
      <c r="F172" s="215" t="s">
        <v>1399</v>
      </c>
      <c r="G172" s="215" t="s">
        <v>13459</v>
      </c>
      <c r="H172" s="216">
        <v>0</v>
      </c>
      <c r="I172" s="217" t="s">
        <v>1731</v>
      </c>
      <c r="J172" s="217" t="s">
        <v>13842</v>
      </c>
      <c r="K172" s="268"/>
      <c r="L172" s="268"/>
      <c r="M172" s="268"/>
      <c r="N172" s="268"/>
      <c r="O172" s="268"/>
      <c r="P172" s="218"/>
      <c r="Q172" s="269"/>
      <c r="R172" s="215" t="str">
        <f ca="1">IF(ISERROR($V172),"",OFFSET('Smelter Look-up'!$C$4,$V172-4,0)&amp;"")</f>
        <v>Jiujiang Zhongao Tantalum &amp; Niobium Co., Ltd.</v>
      </c>
      <c r="S172" s="222" t="str">
        <f t="shared" ca="1" si="24"/>
        <v>CN</v>
      </c>
      <c r="T172" s="222" t="str">
        <f ca="1">IF(B172="","",IF(ISERROR(MATCH($J172,SorP!$B$1:$B$6230,0)),"",INDIRECT("'SorP'!$A$"&amp;MATCH($J172,SorP!$B$1:$B$6230,0))))</f>
        <v>CN-JX</v>
      </c>
      <c r="U172" s="238"/>
      <c r="V172" s="270">
        <f>IF(C172="",NA(),MATCH($B172&amp;$C172,'Smelter Look-up'!$J:$J,0))</f>
        <v>338</v>
      </c>
      <c r="W172" s="271"/>
      <c r="X172" s="271">
        <f t="shared" si="25"/>
        <v>0</v>
      </c>
      <c r="Y172" s="271"/>
      <c r="Z172" s="271"/>
      <c r="AB172" s="273" t="str">
        <f t="shared" si="26"/>
        <v>TantalumJiujiang Zhongao Tantalum &amp; Niobium Co., Ltd.</v>
      </c>
    </row>
    <row r="173" spans="1:28" s="272" customFormat="1" ht="98.4">
      <c r="A173" s="214" t="s">
        <v>1400</v>
      </c>
      <c r="B173" s="215" t="s">
        <v>1132</v>
      </c>
      <c r="C173" s="219" t="s">
        <v>2187</v>
      </c>
      <c r="D173" s="278"/>
      <c r="E173" s="215" t="s">
        <v>1100</v>
      </c>
      <c r="F173" s="215" t="s">
        <v>1400</v>
      </c>
      <c r="G173" s="215" t="s">
        <v>13459</v>
      </c>
      <c r="H173" s="216">
        <v>0</v>
      </c>
      <c r="I173" s="217" t="s">
        <v>1755</v>
      </c>
      <c r="J173" s="217" t="s">
        <v>13847</v>
      </c>
      <c r="K173" s="268"/>
      <c r="L173" s="268"/>
      <c r="M173" s="268"/>
      <c r="N173" s="268"/>
      <c r="O173" s="268"/>
      <c r="P173" s="218"/>
      <c r="Q173" s="269"/>
      <c r="R173" s="215" t="str">
        <f ca="1">IF(ISERROR($V173),"",OFFSET('Smelter Look-up'!$C$4,$V173-4,0)&amp;"")</f>
        <v>XinXing HaoRong Electronic Material Co., Ltd.</v>
      </c>
      <c r="S173" s="222" t="str">
        <f t="shared" ca="1" si="24"/>
        <v>CN</v>
      </c>
      <c r="T173" s="222" t="str">
        <f ca="1">IF(B173="","",IF(ISERROR(MATCH($J173,SorP!$B$1:$B$6230,0)),"",INDIRECT("'SorP'!$A$"&amp;MATCH($J173,SorP!$B$1:$B$6230,0))))</f>
        <v>CN-GD</v>
      </c>
      <c r="U173" s="238"/>
      <c r="V173" s="270">
        <f>IF(C173="",NA(),MATCH($B173&amp;$C173,'Smelter Look-up'!$J:$J,0))</f>
        <v>376</v>
      </c>
      <c r="W173" s="271"/>
      <c r="X173" s="271">
        <f t="shared" si="25"/>
        <v>0</v>
      </c>
      <c r="Y173" s="271"/>
      <c r="Z173" s="271"/>
      <c r="AB173" s="273" t="str">
        <f t="shared" si="26"/>
        <v>TantalumXinXing HaoRong Electronic Material Co., Ltd.</v>
      </c>
    </row>
    <row r="174" spans="1:28" s="272" customFormat="1" ht="61.5">
      <c r="A174" s="214" t="s">
        <v>1391</v>
      </c>
      <c r="B174" s="215" t="s">
        <v>1130</v>
      </c>
      <c r="C174" s="219" t="s">
        <v>2188</v>
      </c>
      <c r="D174" s="278"/>
      <c r="E174" s="215" t="s">
        <v>1106</v>
      </c>
      <c r="F174" s="215" t="s">
        <v>1391</v>
      </c>
      <c r="G174" s="215" t="s">
        <v>13459</v>
      </c>
      <c r="H174" s="216">
        <v>0</v>
      </c>
      <c r="I174" s="217" t="s">
        <v>1704</v>
      </c>
      <c r="J174" s="217" t="s">
        <v>1705</v>
      </c>
      <c r="K174" s="268"/>
      <c r="L174" s="268"/>
      <c r="M174" s="268"/>
      <c r="N174" s="268"/>
      <c r="O174" s="268"/>
      <c r="P174" s="218"/>
      <c r="Q174" s="269"/>
      <c r="R174" s="215" t="str">
        <f ca="1">IF(ISERROR($V174),"",OFFSET('Smelter Look-up'!$C$4,$V174-4,0)&amp;"")</f>
        <v>MMTC-PAMP India Pvt., Ltd.</v>
      </c>
      <c r="S174" s="222" t="str">
        <f t="shared" ca="1" si="24"/>
        <v>IN</v>
      </c>
      <c r="T174" s="222" t="str">
        <f ca="1">IF(B174="","",IF(ISERROR(MATCH($J174,SorP!$B$1:$B$6230,0)),"",INDIRECT("'SorP'!$A$"&amp;MATCH($J174,SorP!$B$1:$B$6230,0))))</f>
        <v>IN-HR</v>
      </c>
      <c r="U174" s="238"/>
      <c r="V174" s="270">
        <f>IF(C174="",NA(),MATCH($B174&amp;$C174,'Smelter Look-up'!$J:$J,0))</f>
        <v>180</v>
      </c>
      <c r="W174" s="271"/>
      <c r="X174" s="271">
        <f t="shared" si="25"/>
        <v>0</v>
      </c>
      <c r="Y174" s="271"/>
      <c r="Z174" s="271"/>
      <c r="AB174" s="273" t="str">
        <f t="shared" si="26"/>
        <v>GoldMMTC-PAMP India Pvt., Ltd.</v>
      </c>
    </row>
    <row r="175" spans="1:28" s="272" customFormat="1" ht="61.5">
      <c r="A175" s="214" t="s">
        <v>1389</v>
      </c>
      <c r="B175" s="215" t="s">
        <v>1130</v>
      </c>
      <c r="C175" s="219" t="s">
        <v>12918</v>
      </c>
      <c r="D175" s="278"/>
      <c r="E175" s="215" t="s">
        <v>882</v>
      </c>
      <c r="F175" s="215" t="s">
        <v>1389</v>
      </c>
      <c r="G175" s="215" t="s">
        <v>13459</v>
      </c>
      <c r="H175" s="216">
        <v>0</v>
      </c>
      <c r="I175" s="217" t="s">
        <v>1707</v>
      </c>
      <c r="J175" s="217" t="s">
        <v>9704</v>
      </c>
      <c r="K175" s="268"/>
      <c r="L175" s="268"/>
      <c r="M175" s="268"/>
      <c r="N175" s="268"/>
      <c r="O175" s="268"/>
      <c r="P175" s="218"/>
      <c r="Q175" s="269"/>
      <c r="R175" s="215" t="str">
        <f ca="1">IF(ISERROR($V175),"",OFFSET('Smelter Look-up'!$C$4,$V175-4,0)&amp;"")</f>
        <v>KGHM Polska Miedz Spolka Akcyjna</v>
      </c>
      <c r="S175" s="222" t="str">
        <f t="shared" ca="1" si="24"/>
        <v>PL</v>
      </c>
      <c r="T175" s="222" t="str">
        <f ca="1">IF(B175="","",IF(ISERROR(MATCH($J175,SorP!$B$1:$B$6230,0)),"",INDIRECT("'SorP'!$A$"&amp;MATCH($J175,SorP!$B$1:$B$6230,0))))</f>
        <v>PL-02</v>
      </c>
      <c r="U175" s="238"/>
      <c r="V175" s="270">
        <f>IF(C175="",NA(),MATCH($B175&amp;$C175,'Smelter Look-up'!$J:$J,0))</f>
        <v>135</v>
      </c>
      <c r="W175" s="271"/>
      <c r="X175" s="271">
        <f t="shared" si="25"/>
        <v>0</v>
      </c>
      <c r="Y175" s="271"/>
      <c r="Z175" s="271"/>
      <c r="AB175" s="273" t="str">
        <f t="shared" si="26"/>
        <v>GoldKGHM Polska Miedz Spolka Akcyjna</v>
      </c>
    </row>
    <row r="176" spans="1:28" s="272" customFormat="1" ht="86.1">
      <c r="A176" s="214" t="s">
        <v>1398</v>
      </c>
      <c r="B176" s="215" t="s">
        <v>1132</v>
      </c>
      <c r="C176" s="219" t="s">
        <v>2189</v>
      </c>
      <c r="D176" s="278"/>
      <c r="E176" s="215" t="s">
        <v>1100</v>
      </c>
      <c r="F176" s="215" t="s">
        <v>1398</v>
      </c>
      <c r="G176" s="215" t="s">
        <v>13459</v>
      </c>
      <c r="H176" s="216">
        <v>0</v>
      </c>
      <c r="I176" s="217" t="s">
        <v>1756</v>
      </c>
      <c r="J176" s="217" t="s">
        <v>13842</v>
      </c>
      <c r="K176" s="268"/>
      <c r="L176" s="268"/>
      <c r="M176" s="268"/>
      <c r="N176" s="268"/>
      <c r="O176" s="268"/>
      <c r="P176" s="218"/>
      <c r="Q176" s="269"/>
      <c r="R176" s="215" t="str">
        <f ca="1">IF(ISERROR($V176),"",OFFSET('Smelter Look-up'!$C$4,$V176-4,0)&amp;"")</f>
        <v>Jiangxi Dinghai Tantalum &amp; Niobium Co., Ltd.</v>
      </c>
      <c r="S176" s="222" t="str">
        <f t="shared" ca="1" si="24"/>
        <v>CN</v>
      </c>
      <c r="T176" s="222" t="str">
        <f ca="1">IF(B176="","",IF(ISERROR(MATCH($J176,SorP!$B$1:$B$6230,0)),"",INDIRECT("'SorP'!$A$"&amp;MATCH($J176,SorP!$B$1:$B$6230,0))))</f>
        <v>CN-JX</v>
      </c>
      <c r="U176" s="238"/>
      <c r="V176" s="270">
        <f>IF(C176="",NA(),MATCH($B176&amp;$C176,'Smelter Look-up'!$J:$J,0))</f>
        <v>333</v>
      </c>
      <c r="W176" s="271"/>
      <c r="X176" s="271">
        <f t="shared" si="25"/>
        <v>0</v>
      </c>
      <c r="Y176" s="271"/>
      <c r="Z176" s="271"/>
      <c r="AB176" s="273" t="str">
        <f t="shared" si="26"/>
        <v>TantalumJiangxi Dinghai Tantalum &amp; Niobium Co., Ltd.</v>
      </c>
    </row>
    <row r="177" spans="1:28" s="272" customFormat="1" ht="98.4">
      <c r="A177" s="214" t="s">
        <v>1406</v>
      </c>
      <c r="B177" s="215" t="s">
        <v>1133</v>
      </c>
      <c r="C177" s="219" t="s">
        <v>1405</v>
      </c>
      <c r="D177" s="278"/>
      <c r="E177" s="215" t="s">
        <v>1100</v>
      </c>
      <c r="F177" s="215" t="s">
        <v>1406</v>
      </c>
      <c r="G177" s="215" t="s">
        <v>13459</v>
      </c>
      <c r="H177" s="216">
        <v>0</v>
      </c>
      <c r="I177" s="217" t="s">
        <v>1788</v>
      </c>
      <c r="J177" s="217" t="s">
        <v>13846</v>
      </c>
      <c r="K177" s="268"/>
      <c r="L177" s="268"/>
      <c r="M177" s="268"/>
      <c r="N177" s="268"/>
      <c r="O177" s="268"/>
      <c r="P177" s="218"/>
      <c r="Q177" s="269"/>
      <c r="R177" s="215" t="str">
        <f ca="1">IF(ISERROR($V177),"",OFFSET('Smelter Look-up'!$C$4,$V177-4,0)&amp;"")</f>
        <v>Chenzhou Diamond Tungsten Products Co., Ltd.</v>
      </c>
      <c r="S177" s="222" t="str">
        <f t="shared" ca="1" si="24"/>
        <v>CN</v>
      </c>
      <c r="T177" s="222" t="str">
        <f ca="1">IF(B177="","",IF(ISERROR(MATCH($J177,SorP!$B$1:$B$6230,0)),"",INDIRECT("'SorP'!$A$"&amp;MATCH($J177,SorP!$B$1:$B$6230,0))))</f>
        <v>CN-HN</v>
      </c>
      <c r="U177" s="238"/>
      <c r="V177" s="270">
        <f>IF(C177="",NA(),MATCH($B177&amp;$C177,'Smelter Look-up'!$J:$J,0))</f>
        <v>545</v>
      </c>
      <c r="W177" s="271"/>
      <c r="X177" s="271">
        <f t="shared" si="25"/>
        <v>0</v>
      </c>
      <c r="Y177" s="271"/>
      <c r="Z177" s="271"/>
      <c r="AB177" s="273" t="str">
        <f t="shared" si="26"/>
        <v>TungstenChenzhou Diamond Tungsten Products Co., Ltd.</v>
      </c>
    </row>
    <row r="178" spans="1:28" s="272" customFormat="1" ht="61.5">
      <c r="A178" s="214" t="s">
        <v>1394</v>
      </c>
      <c r="B178" s="215" t="s">
        <v>1130</v>
      </c>
      <c r="C178" s="219" t="s">
        <v>1393</v>
      </c>
      <c r="D178" s="278"/>
      <c r="E178" s="215" t="s">
        <v>2462</v>
      </c>
      <c r="F178" s="215" t="s">
        <v>1394</v>
      </c>
      <c r="G178" s="215" t="s">
        <v>13459</v>
      </c>
      <c r="H178" s="216">
        <v>0</v>
      </c>
      <c r="I178" s="217" t="s">
        <v>1710</v>
      </c>
      <c r="J178" s="217" t="s">
        <v>1711</v>
      </c>
      <c r="K178" s="268"/>
      <c r="L178" s="268"/>
      <c r="M178" s="268"/>
      <c r="N178" s="268"/>
      <c r="O178" s="268"/>
      <c r="P178" s="218"/>
      <c r="Q178" s="269"/>
      <c r="R178" s="215" t="str">
        <f ca="1">IF(ISERROR($V178),"",OFFSET('Smelter Look-up'!$C$4,$V178-4,0)&amp;"")</f>
        <v>Singway Technology Co., Ltd.</v>
      </c>
      <c r="S178" s="222" t="str">
        <f t="shared" ca="1" si="24"/>
        <v>TW</v>
      </c>
      <c r="T178" s="222" t="str">
        <f ca="1">IF(B178="","",IF(ISERROR(MATCH($J178,SorP!$B$1:$B$6230,0)),"",INDIRECT("'SorP'!$A$"&amp;MATCH($J178,SorP!$B$1:$B$6230,0))))</f>
        <v>TW-TAO</v>
      </c>
      <c r="U178" s="238"/>
      <c r="V178" s="270">
        <f>IF(C178="",NA(),MATCH($B178&amp;$C178,'Smelter Look-up'!$J:$J,0))</f>
        <v>249</v>
      </c>
      <c r="W178" s="271"/>
      <c r="X178" s="271">
        <f t="shared" si="25"/>
        <v>0</v>
      </c>
      <c r="Y178" s="271"/>
      <c r="Z178" s="271"/>
      <c r="AB178" s="273" t="str">
        <f t="shared" si="26"/>
        <v>GoldSingway Technology Co., Ltd.</v>
      </c>
    </row>
    <row r="179" spans="1:28" s="272" customFormat="1" ht="61.5">
      <c r="A179" s="214" t="s">
        <v>1402</v>
      </c>
      <c r="B179" s="215" t="s">
        <v>1131</v>
      </c>
      <c r="C179" s="219" t="s">
        <v>1401</v>
      </c>
      <c r="D179" s="278"/>
      <c r="E179" s="215" t="s">
        <v>881</v>
      </c>
      <c r="F179" s="215" t="s">
        <v>1402</v>
      </c>
      <c r="G179" s="215" t="s">
        <v>13459</v>
      </c>
      <c r="H179" s="216">
        <v>0</v>
      </c>
      <c r="I179" s="217" t="s">
        <v>13160</v>
      </c>
      <c r="J179" s="217" t="s">
        <v>9659</v>
      </c>
      <c r="K179" s="268"/>
      <c r="L179" s="268"/>
      <c r="M179" s="268"/>
      <c r="N179" s="268"/>
      <c r="O179" s="268"/>
      <c r="P179" s="218"/>
      <c r="Q179" s="269"/>
      <c r="R179" s="215" t="str">
        <f ca="1">IF(ISERROR($V179),"",OFFSET('Smelter Look-up'!$C$4,$V179-4,0)&amp;"")</f>
        <v>O.M. Manufacturing Philippines, Inc.</v>
      </c>
      <c r="S179" s="222" t="str">
        <f t="shared" ca="1" si="24"/>
        <v>PH</v>
      </c>
      <c r="T179" s="222" t="str">
        <f ca="1">IF(B179="","",IF(ISERROR(MATCH($J179,SorP!$B$1:$B$6230,0)),"",INDIRECT("'SorP'!$A$"&amp;MATCH($J179,SorP!$B$1:$B$6230,0))))</f>
        <v>PH-CAV</v>
      </c>
      <c r="U179" s="238"/>
      <c r="V179" s="270">
        <f>IF(C179="",NA(),MATCH($B179&amp;$C179,'Smelter Look-up'!$J:$J,0))</f>
        <v>469</v>
      </c>
      <c r="W179" s="271"/>
      <c r="X179" s="271">
        <f t="shared" si="25"/>
        <v>0</v>
      </c>
      <c r="Y179" s="271"/>
      <c r="Z179" s="271"/>
      <c r="AB179" s="273" t="str">
        <f t="shared" si="26"/>
        <v>TinO.M. Manufacturing Philippines, Inc.</v>
      </c>
    </row>
    <row r="180" spans="1:28" s="272" customFormat="1" ht="49.2">
      <c r="A180" s="214" t="s">
        <v>1426</v>
      </c>
      <c r="B180" s="215" t="s">
        <v>1132</v>
      </c>
      <c r="C180" s="219" t="s">
        <v>1425</v>
      </c>
      <c r="D180" s="278"/>
      <c r="E180" s="215" t="s">
        <v>1113</v>
      </c>
      <c r="F180" s="215" t="s">
        <v>1426</v>
      </c>
      <c r="G180" s="215" t="s">
        <v>13459</v>
      </c>
      <c r="H180" s="216">
        <v>0</v>
      </c>
      <c r="I180" s="217" t="s">
        <v>1757</v>
      </c>
      <c r="J180" s="217" t="s">
        <v>1758</v>
      </c>
      <c r="K180" s="268"/>
      <c r="L180" s="268"/>
      <c r="M180" s="268"/>
      <c r="N180" s="268"/>
      <c r="O180" s="268"/>
      <c r="P180" s="218"/>
      <c r="Q180" s="269"/>
      <c r="R180" s="215" t="str">
        <f ca="1">IF(ISERROR($V180),"",OFFSET('Smelter Look-up'!$C$4,$V180-4,0)&amp;"")</f>
        <v>KEMET de Mexico</v>
      </c>
      <c r="S180" s="222" t="str">
        <f t="shared" ca="1" si="24"/>
        <v>MX</v>
      </c>
      <c r="T180" s="222" t="str">
        <f ca="1">IF(B180="","",IF(ISERROR(MATCH($J180,SorP!$B$1:$B$6230,0)),"",INDIRECT("'SorP'!$A$"&amp;MATCH($J180,SorP!$B$1:$B$6230,0))))</f>
        <v>MX-TAM</v>
      </c>
      <c r="U180" s="238"/>
      <c r="V180" s="270">
        <f>IF(C180="",NA(),MATCH($B180&amp;$C180,'Smelter Look-up'!$J:$J,0))</f>
        <v>339</v>
      </c>
      <c r="W180" s="271"/>
      <c r="X180" s="271">
        <f t="shared" si="25"/>
        <v>0</v>
      </c>
      <c r="Y180" s="271"/>
      <c r="Z180" s="271"/>
      <c r="AB180" s="273" t="str">
        <f t="shared" si="26"/>
        <v>TantalumKEMET Blue Metals</v>
      </c>
    </row>
    <row r="181" spans="1:28" s="272" customFormat="1" ht="61.5">
      <c r="A181" s="214" t="s">
        <v>1428</v>
      </c>
      <c r="B181" s="215" t="s">
        <v>1133</v>
      </c>
      <c r="C181" s="219" t="s">
        <v>2570</v>
      </c>
      <c r="D181" s="278"/>
      <c r="E181" s="215" t="s">
        <v>1101</v>
      </c>
      <c r="F181" s="215" t="s">
        <v>1428</v>
      </c>
      <c r="G181" s="215" t="s">
        <v>13459</v>
      </c>
      <c r="H181" s="216">
        <v>0</v>
      </c>
      <c r="I181" s="217" t="s">
        <v>1761</v>
      </c>
      <c r="J181" s="217" t="s">
        <v>4284</v>
      </c>
      <c r="K181" s="268"/>
      <c r="L181" s="268"/>
      <c r="M181" s="268"/>
      <c r="N181" s="268"/>
      <c r="O181" s="268"/>
      <c r="P181" s="218"/>
      <c r="Q181" s="269"/>
      <c r="R181" s="215" t="str">
        <f ca="1">IF(ISERROR($V181),"",OFFSET('Smelter Look-up'!$C$4,$V181-4,0)&amp;"")</f>
        <v>H.C. Starck Tungsten GmbH</v>
      </c>
      <c r="S181" s="222" t="str">
        <f t="shared" ca="1" si="24"/>
        <v>DE</v>
      </c>
      <c r="T181" s="222" t="str">
        <f ca="1">IF(B181="","",IF(ISERROR(MATCH($J181,SorP!$B$1:$B$6230,0)),"",INDIRECT("'SorP'!$A$"&amp;MATCH($J181,SorP!$B$1:$B$6230,0))))</f>
        <v>DE-NI</v>
      </c>
      <c r="U181" s="238"/>
      <c r="V181" s="270">
        <f>IF(C181="",NA(),MATCH($B181&amp;$C181,'Smelter Look-up'!$J:$J,0))</f>
        <v>564</v>
      </c>
      <c r="W181" s="271"/>
      <c r="X181" s="271">
        <f t="shared" si="25"/>
        <v>0</v>
      </c>
      <c r="Y181" s="271"/>
      <c r="Z181" s="271"/>
      <c r="AB181" s="273" t="str">
        <f t="shared" si="26"/>
        <v>TungstenH.C. Starck Tungsten GmbH</v>
      </c>
    </row>
    <row r="182" spans="1:28" s="272" customFormat="1" ht="73.8">
      <c r="A182" s="214" t="s">
        <v>1429</v>
      </c>
      <c r="B182" s="215" t="s">
        <v>1133</v>
      </c>
      <c r="C182" s="219" t="s">
        <v>2361</v>
      </c>
      <c r="D182" s="278"/>
      <c r="E182" s="215" t="s">
        <v>1101</v>
      </c>
      <c r="F182" s="215" t="s">
        <v>1429</v>
      </c>
      <c r="G182" s="215" t="s">
        <v>13459</v>
      </c>
      <c r="H182" s="216">
        <v>0</v>
      </c>
      <c r="I182" s="217" t="s">
        <v>1762</v>
      </c>
      <c r="J182" s="217" t="s">
        <v>1550</v>
      </c>
      <c r="K182" s="268"/>
      <c r="L182" s="268"/>
      <c r="M182" s="268"/>
      <c r="N182" s="268"/>
      <c r="O182" s="268"/>
      <c r="P182" s="218"/>
      <c r="Q182" s="269"/>
      <c r="R182" s="215" t="str">
        <f ca="1">IF(ISERROR($V182),"",OFFSET('Smelter Look-up'!$C$4,$V182-4,0)&amp;"")</f>
        <v>TANIOBIS Smelting GmbH &amp; Co. KG</v>
      </c>
      <c r="S182" s="222" t="str">
        <f t="shared" ca="1" si="24"/>
        <v>DE</v>
      </c>
      <c r="T182" s="222" t="str">
        <f ca="1">IF(B182="","",IF(ISERROR(MATCH($J182,SorP!$B$1:$B$6230,0)),"",INDIRECT("'SorP'!$A$"&amp;MATCH($J182,SorP!$B$1:$B$6230,0))))</f>
        <v>DE-BW</v>
      </c>
      <c r="U182" s="238"/>
      <c r="V182" s="270">
        <f>IF(C182="",NA(),MATCH($B182&amp;$C182,'Smelter Look-up'!$J:$J,0))</f>
        <v>563</v>
      </c>
      <c r="W182" s="271"/>
      <c r="X182" s="271">
        <f t="shared" si="25"/>
        <v>0</v>
      </c>
      <c r="Y182" s="271"/>
      <c r="Z182" s="271"/>
      <c r="AB182" s="273" t="str">
        <f t="shared" si="26"/>
        <v>TungstenH.C. Starck Smelting GmbH &amp; Co. KG</v>
      </c>
    </row>
    <row r="183" spans="1:28" s="272" customFormat="1" ht="86.1">
      <c r="A183" s="214" t="s">
        <v>1432</v>
      </c>
      <c r="B183" s="215" t="s">
        <v>1133</v>
      </c>
      <c r="C183" s="219" t="s">
        <v>14051</v>
      </c>
      <c r="D183" s="278"/>
      <c r="E183" s="215" t="s">
        <v>892</v>
      </c>
      <c r="F183" s="215" t="s">
        <v>1432</v>
      </c>
      <c r="G183" s="215" t="s">
        <v>13459</v>
      </c>
      <c r="H183" s="216">
        <v>0</v>
      </c>
      <c r="I183" s="217" t="s">
        <v>1855</v>
      </c>
      <c r="J183" s="217" t="s">
        <v>12344</v>
      </c>
      <c r="K183" s="268"/>
      <c r="L183" s="268"/>
      <c r="M183" s="268"/>
      <c r="N183" s="268"/>
      <c r="O183" s="268"/>
      <c r="P183" s="218"/>
      <c r="Q183" s="269"/>
      <c r="R183" s="215" t="str">
        <f ca="1">IF(ISERROR($V183),"",OFFSET('Smelter Look-up'!$C$4,$V183-4,0)&amp;"")</f>
        <v>Masan High-Tech Materials</v>
      </c>
      <c r="S183" s="222" t="str">
        <f t="shared" ca="1" si="24"/>
        <v>VN</v>
      </c>
      <c r="T183" s="222" t="str">
        <f ca="1">IF(B183="","",IF(ISERROR(MATCH($J183,SorP!$B$1:$B$6230,0)),"",INDIRECT("'SorP'!$A$"&amp;MATCH($J183,SorP!$B$1:$B$6230,0))))</f>
        <v>VN-69</v>
      </c>
      <c r="U183" s="238"/>
      <c r="V183" s="270">
        <f>IF(C183="",NA(),MATCH($B183&amp;$C183,'Smelter Look-up'!$J:$J,0))</f>
        <v>588</v>
      </c>
      <c r="W183" s="271"/>
      <c r="X183" s="271">
        <f t="shared" si="25"/>
        <v>0</v>
      </c>
      <c r="Y183" s="271"/>
      <c r="Z183" s="271"/>
      <c r="AB183" s="273" t="str">
        <f t="shared" si="26"/>
        <v>TungstenMasan Tungsten Chemical LLC (MTC)</v>
      </c>
    </row>
    <row r="184" spans="1:28" s="272" customFormat="1" ht="49.2">
      <c r="A184" s="214" t="s">
        <v>1416</v>
      </c>
      <c r="B184" s="215" t="s">
        <v>1132</v>
      </c>
      <c r="C184" s="219" t="s">
        <v>1415</v>
      </c>
      <c r="D184" s="278"/>
      <c r="E184" s="215" t="s">
        <v>888</v>
      </c>
      <c r="F184" s="215" t="s">
        <v>1416</v>
      </c>
      <c r="G184" s="215" t="s">
        <v>13459</v>
      </c>
      <c r="H184" s="216">
        <v>0</v>
      </c>
      <c r="I184" s="217" t="s">
        <v>1759</v>
      </c>
      <c r="J184" s="217" t="s">
        <v>1760</v>
      </c>
      <c r="K184" s="268"/>
      <c r="L184" s="268"/>
      <c r="M184" s="268"/>
      <c r="N184" s="268"/>
      <c r="O184" s="268"/>
      <c r="P184" s="218"/>
      <c r="Q184" s="269"/>
      <c r="R184" s="215" t="str">
        <f ca="1">IF(ISERROR($V184),"",OFFSET('Smelter Look-up'!$C$4,$V184-4,0)&amp;"")</f>
        <v>TANIOBIS Co., Ltd.</v>
      </c>
      <c r="S184" s="222" t="str">
        <f t="shared" ca="1" si="24"/>
        <v>TH</v>
      </c>
      <c r="T184" s="222" t="str">
        <f ca="1">IF(B184="","",IF(ISERROR(MATCH($J184,SorP!$B$1:$B$6230,0)),"",INDIRECT("'SorP'!$A$"&amp;MATCH($J184,SorP!$B$1:$B$6230,0))))</f>
        <v>TH-21</v>
      </c>
      <c r="U184" s="238"/>
      <c r="V184" s="270">
        <f>IF(C184="",NA(),MATCH($B184&amp;$C184,'Smelter Look-up'!$J:$J,0))</f>
        <v>326</v>
      </c>
      <c r="W184" s="271"/>
      <c r="X184" s="271">
        <f t="shared" si="25"/>
        <v>0</v>
      </c>
      <c r="Y184" s="271"/>
      <c r="Z184" s="271"/>
      <c r="AB184" s="273" t="str">
        <f t="shared" si="26"/>
        <v>TantalumH.C. Starck Co., Ltd.</v>
      </c>
    </row>
    <row r="185" spans="1:28" s="272" customFormat="1" ht="86.1">
      <c r="A185" s="214" t="s">
        <v>1417</v>
      </c>
      <c r="B185" s="215" t="s">
        <v>1132</v>
      </c>
      <c r="C185" s="219" t="s">
        <v>2558</v>
      </c>
      <c r="D185" s="278"/>
      <c r="E185" s="215" t="s">
        <v>1101</v>
      </c>
      <c r="F185" s="215" t="s">
        <v>1417</v>
      </c>
      <c r="G185" s="215" t="s">
        <v>13459</v>
      </c>
      <c r="H185" s="216">
        <v>0</v>
      </c>
      <c r="I185" s="217" t="s">
        <v>1761</v>
      </c>
      <c r="J185" s="217" t="s">
        <v>4284</v>
      </c>
      <c r="K185" s="268"/>
      <c r="L185" s="268"/>
      <c r="M185" s="268"/>
      <c r="N185" s="268"/>
      <c r="O185" s="268"/>
      <c r="P185" s="218"/>
      <c r="Q185" s="269"/>
      <c r="R185" s="215" t="str">
        <f ca="1">IF(ISERROR($V185),"",OFFSET('Smelter Look-up'!$C$4,$V185-4,0)&amp;"")</f>
        <v>TANIOBIS GmbH</v>
      </c>
      <c r="S185" s="222" t="str">
        <f t="shared" ca="1" si="24"/>
        <v>DE</v>
      </c>
      <c r="T185" s="222" t="str">
        <f ca="1">IF(B185="","",IF(ISERROR(MATCH($J185,SorP!$B$1:$B$6230,0)),"",INDIRECT("'SorP'!$A$"&amp;MATCH($J185,SorP!$B$1:$B$6230,0))))</f>
        <v>DE-NI</v>
      </c>
      <c r="U185" s="238"/>
      <c r="V185" s="270">
        <f>IF(C185="",NA(),MATCH($B185&amp;$C185,'Smelter Look-up'!$J:$J,0))</f>
        <v>331</v>
      </c>
      <c r="W185" s="271"/>
      <c r="X185" s="271">
        <f t="shared" si="25"/>
        <v>0</v>
      </c>
      <c r="Y185" s="271"/>
      <c r="Z185" s="271"/>
      <c r="AB185" s="273" t="str">
        <f t="shared" si="26"/>
        <v>TantalumH.C. Starck Tantalum and Niobium GmbH</v>
      </c>
    </row>
    <row r="186" spans="1:28" s="272" customFormat="1" ht="61.5">
      <c r="A186" s="214" t="s">
        <v>1419</v>
      </c>
      <c r="B186" s="215" t="s">
        <v>1132</v>
      </c>
      <c r="C186" s="219" t="s">
        <v>1418</v>
      </c>
      <c r="D186" s="278"/>
      <c r="E186" s="215" t="s">
        <v>1101</v>
      </c>
      <c r="F186" s="215" t="s">
        <v>1419</v>
      </c>
      <c r="G186" s="215" t="s">
        <v>13459</v>
      </c>
      <c r="H186" s="216">
        <v>0</v>
      </c>
      <c r="I186" s="217" t="s">
        <v>1763</v>
      </c>
      <c r="J186" s="217" t="s">
        <v>4262</v>
      </c>
      <c r="K186" s="268"/>
      <c r="L186" s="268"/>
      <c r="M186" s="268"/>
      <c r="N186" s="268"/>
      <c r="O186" s="268"/>
      <c r="P186" s="218"/>
      <c r="Q186" s="269"/>
      <c r="R186" s="215" t="str">
        <f ca="1">IF(ISERROR($V186),"",OFFSET('Smelter Look-up'!$C$4,$V186-4,0)&amp;"")</f>
        <v>H.C. Starck Hermsdorf GmbH</v>
      </c>
      <c r="S186" s="222" t="str">
        <f t="shared" ca="1" si="24"/>
        <v>DE</v>
      </c>
      <c r="T186" s="222" t="str">
        <f ca="1">IF(B186="","",IF(ISERROR(MATCH($J186,SorP!$B$1:$B$6230,0)),"",INDIRECT("'SorP'!$A$"&amp;MATCH($J186,SorP!$B$1:$B$6230,0))))</f>
        <v>DE-TH</v>
      </c>
      <c r="U186" s="238"/>
      <c r="V186" s="270">
        <f>IF(C186="",NA(),MATCH($B186&amp;$C186,'Smelter Look-up'!$J:$J,0))</f>
        <v>327</v>
      </c>
      <c r="W186" s="271"/>
      <c r="X186" s="271">
        <f t="shared" si="25"/>
        <v>0</v>
      </c>
      <c r="Y186" s="271"/>
      <c r="Z186" s="271"/>
      <c r="AB186" s="273" t="str">
        <f t="shared" si="26"/>
        <v>TantalumH.C. Starck Hermsdorf GmbH</v>
      </c>
    </row>
    <row r="187" spans="1:28" s="272" customFormat="1" ht="49.2">
      <c r="A187" s="214" t="s">
        <v>1421</v>
      </c>
      <c r="B187" s="215" t="s">
        <v>1132</v>
      </c>
      <c r="C187" s="219" t="s">
        <v>1420</v>
      </c>
      <c r="D187" s="278"/>
      <c r="E187" s="215" t="s">
        <v>2463</v>
      </c>
      <c r="F187" s="215" t="s">
        <v>1421</v>
      </c>
      <c r="G187" s="215" t="s">
        <v>13459</v>
      </c>
      <c r="H187" s="216">
        <v>0</v>
      </c>
      <c r="I187" s="217" t="s">
        <v>1764</v>
      </c>
      <c r="J187" s="217" t="s">
        <v>1632</v>
      </c>
      <c r="K187" s="268"/>
      <c r="L187" s="268"/>
      <c r="M187" s="268"/>
      <c r="N187" s="268"/>
      <c r="O187" s="268"/>
      <c r="P187" s="218"/>
      <c r="Q187" s="269"/>
      <c r="R187" s="215" t="str">
        <f ca="1">IF(ISERROR($V187),"",OFFSET('Smelter Look-up'!$C$4,$V187-4,0)&amp;"")</f>
        <v>H.C. Starck Inc.</v>
      </c>
      <c r="S187" s="222" t="str">
        <f t="shared" ca="1" si="24"/>
        <v>US</v>
      </c>
      <c r="T187" s="222" t="str">
        <f ca="1">IF(B187="","",IF(ISERROR(MATCH($J187,SorP!$B$1:$B$6230,0)),"",INDIRECT("'SorP'!$A$"&amp;MATCH($J187,SorP!$B$1:$B$6230,0))))</f>
        <v>US-MA</v>
      </c>
      <c r="U187" s="238"/>
      <c r="V187" s="270">
        <f>IF(C187="",NA(),MATCH($B187&amp;$C187,'Smelter Look-up'!$J:$J,0))</f>
        <v>328</v>
      </c>
      <c r="W187" s="271"/>
      <c r="X187" s="271">
        <f t="shared" si="25"/>
        <v>0</v>
      </c>
      <c r="Y187" s="271"/>
      <c r="Z187" s="271"/>
      <c r="AB187" s="273" t="str">
        <f t="shared" si="26"/>
        <v>TantalumH.C. Starck Inc.</v>
      </c>
    </row>
    <row r="188" spans="1:28" s="272" customFormat="1" ht="49.2">
      <c r="A188" s="214" t="s">
        <v>1423</v>
      </c>
      <c r="B188" s="215" t="s">
        <v>1132</v>
      </c>
      <c r="C188" s="219" t="s">
        <v>1422</v>
      </c>
      <c r="D188" s="278"/>
      <c r="E188" s="215" t="s">
        <v>1108</v>
      </c>
      <c r="F188" s="215" t="s">
        <v>1423</v>
      </c>
      <c r="G188" s="215" t="s">
        <v>13459</v>
      </c>
      <c r="H188" s="216">
        <v>0</v>
      </c>
      <c r="I188" s="217" t="s">
        <v>1765</v>
      </c>
      <c r="J188" s="217" t="s">
        <v>1766</v>
      </c>
      <c r="K188" s="268"/>
      <c r="L188" s="268"/>
      <c r="M188" s="268"/>
      <c r="N188" s="268"/>
      <c r="O188" s="268"/>
      <c r="P188" s="218"/>
      <c r="Q188" s="269"/>
      <c r="R188" s="215" t="str">
        <f ca="1">IF(ISERROR($V188),"",OFFSET('Smelter Look-up'!$C$4,$V188-4,0)&amp;"")</f>
        <v>TANIOBIS Japan Co., Ltd.</v>
      </c>
      <c r="S188" s="222" t="str">
        <f t="shared" ca="1" si="24"/>
        <v>JP</v>
      </c>
      <c r="T188" s="222" t="str">
        <f ca="1">IF(B188="","",IF(ISERROR(MATCH($J188,SorP!$B$1:$B$6230,0)),"",INDIRECT("'SorP'!$A$"&amp;MATCH($J188,SorP!$B$1:$B$6230,0))))</f>
        <v>JP-08</v>
      </c>
      <c r="U188" s="238"/>
      <c r="V188" s="270">
        <f>IF(C188="",NA(),MATCH($B188&amp;$C188,'Smelter Look-up'!$J:$J,0))</f>
        <v>329</v>
      </c>
      <c r="W188" s="271"/>
      <c r="X188" s="271">
        <f t="shared" si="25"/>
        <v>0</v>
      </c>
      <c r="Y188" s="271"/>
      <c r="Z188" s="271"/>
      <c r="AB188" s="273" t="str">
        <f t="shared" si="26"/>
        <v>TantalumH.C. Starck Ltd.</v>
      </c>
    </row>
    <row r="189" spans="1:28" s="272" customFormat="1" ht="73.8">
      <c r="A189" s="214" t="s">
        <v>1424</v>
      </c>
      <c r="B189" s="215" t="s">
        <v>1132</v>
      </c>
      <c r="C189" s="219" t="s">
        <v>2361</v>
      </c>
      <c r="D189" s="278"/>
      <c r="E189" s="215" t="s">
        <v>1101</v>
      </c>
      <c r="F189" s="215" t="s">
        <v>1424</v>
      </c>
      <c r="G189" s="215" t="s">
        <v>13459</v>
      </c>
      <c r="H189" s="216">
        <v>0</v>
      </c>
      <c r="I189" s="217" t="s">
        <v>1762</v>
      </c>
      <c r="J189" s="217" t="s">
        <v>1550</v>
      </c>
      <c r="K189" s="268"/>
      <c r="L189" s="268"/>
      <c r="M189" s="268"/>
      <c r="N189" s="268"/>
      <c r="O189" s="268"/>
      <c r="P189" s="218"/>
      <c r="Q189" s="269"/>
      <c r="R189" s="215" t="str">
        <f ca="1">IF(ISERROR($V189),"",OFFSET('Smelter Look-up'!$C$4,$V189-4,0)&amp;"")</f>
        <v>TANIOBIS Smelting GmbH &amp; Co. KG</v>
      </c>
      <c r="S189" s="222" t="str">
        <f t="shared" ca="1" si="24"/>
        <v>DE</v>
      </c>
      <c r="T189" s="222" t="str">
        <f ca="1">IF(B189="","",IF(ISERROR(MATCH($J189,SorP!$B$1:$B$6230,0)),"",INDIRECT("'SorP'!$A$"&amp;MATCH($J189,SorP!$B$1:$B$6230,0))))</f>
        <v>DE-BW</v>
      </c>
      <c r="U189" s="238"/>
      <c r="V189" s="270">
        <f>IF(C189="",NA(),MATCH($B189&amp;$C189,'Smelter Look-up'!$J:$J,0))</f>
        <v>330</v>
      </c>
      <c r="W189" s="271"/>
      <c r="X189" s="271">
        <f t="shared" si="25"/>
        <v>0</v>
      </c>
      <c r="Y189" s="271"/>
      <c r="Z189" s="271"/>
      <c r="AB189" s="273" t="str">
        <f t="shared" si="26"/>
        <v>TantalumH.C. Starck Smelting GmbH &amp; Co. KG</v>
      </c>
    </row>
    <row r="190" spans="1:28" s="272" customFormat="1" ht="98.4">
      <c r="A190" s="214" t="s">
        <v>1431</v>
      </c>
      <c r="B190" s="215" t="s">
        <v>1133</v>
      </c>
      <c r="C190" s="219" t="s">
        <v>1430</v>
      </c>
      <c r="D190" s="278"/>
      <c r="E190" s="215" t="s">
        <v>1100</v>
      </c>
      <c r="F190" s="215" t="s">
        <v>1431</v>
      </c>
      <c r="G190" s="215" t="s">
        <v>13459</v>
      </c>
      <c r="H190" s="216">
        <v>0</v>
      </c>
      <c r="I190" s="217" t="s">
        <v>1787</v>
      </c>
      <c r="J190" s="217" t="s">
        <v>13842</v>
      </c>
      <c r="K190" s="268"/>
      <c r="L190" s="268"/>
      <c r="M190" s="268"/>
      <c r="N190" s="268"/>
      <c r="O190" s="268"/>
      <c r="P190" s="218"/>
      <c r="Q190" s="269"/>
      <c r="R190" s="215" t="str">
        <f ca="1">IF(ISERROR($V190),"",OFFSET('Smelter Look-up'!$C$4,$V190-4,0)&amp;"")</f>
        <v>Jiangwu H.C. Starck Tungsten Products Co., Ltd.</v>
      </c>
      <c r="S190" s="222" t="str">
        <f t="shared" ca="1" si="24"/>
        <v>CN</v>
      </c>
      <c r="T190" s="222" t="str">
        <f ca="1">IF(B190="","",IF(ISERROR(MATCH($J190,SorP!$B$1:$B$6230,0)),"",INDIRECT("'SorP'!$A$"&amp;MATCH($J190,SorP!$B$1:$B$6230,0))))</f>
        <v>CN-JX</v>
      </c>
      <c r="U190" s="238"/>
      <c r="V190" s="270">
        <f>IF(C190="",NA(),MATCH($B190&amp;$C190,'Smelter Look-up'!$J:$J,0))</f>
        <v>573</v>
      </c>
      <c r="W190" s="271"/>
      <c r="X190" s="271">
        <f t="shared" si="25"/>
        <v>0</v>
      </c>
      <c r="Y190" s="271"/>
      <c r="Z190" s="271"/>
      <c r="AB190" s="273" t="str">
        <f t="shared" si="26"/>
        <v>TungstenJiangwu H.C. Starck Tungsten Products Co., Ltd.</v>
      </c>
    </row>
    <row r="191" spans="1:28" s="272" customFormat="1" ht="73.8">
      <c r="A191" s="214" t="s">
        <v>1414</v>
      </c>
      <c r="B191" s="215" t="s">
        <v>1132</v>
      </c>
      <c r="C191" s="219" t="s">
        <v>1413</v>
      </c>
      <c r="D191" s="278"/>
      <c r="E191" s="215" t="s">
        <v>2463</v>
      </c>
      <c r="F191" s="215" t="s">
        <v>1414</v>
      </c>
      <c r="G191" s="215" t="s">
        <v>13459</v>
      </c>
      <c r="H191" s="216">
        <v>0</v>
      </c>
      <c r="I191" s="217" t="s">
        <v>1767</v>
      </c>
      <c r="J191" s="217" t="s">
        <v>1749</v>
      </c>
      <c r="K191" s="268"/>
      <c r="L191" s="268"/>
      <c r="M191" s="268"/>
      <c r="N191" s="268"/>
      <c r="O191" s="268"/>
      <c r="P191" s="218"/>
      <c r="Q191" s="269"/>
      <c r="R191" s="215" t="str">
        <f ca="1">IF(ISERROR($V191),"",OFFSET('Smelter Look-up'!$C$4,$V191-4,0)&amp;"")</f>
        <v>Global Advanced Metals Boyertown</v>
      </c>
      <c r="S191" s="222" t="str">
        <f t="shared" ca="1" si="24"/>
        <v>US</v>
      </c>
      <c r="T191" s="222" t="str">
        <f ca="1">IF(B191="","",IF(ISERROR(MATCH($J191,SorP!$B$1:$B$6230,0)),"",INDIRECT("'SorP'!$A$"&amp;MATCH($J191,SorP!$B$1:$B$6230,0))))</f>
        <v>US-PA</v>
      </c>
      <c r="U191" s="238"/>
      <c r="V191" s="270">
        <f>IF(C191="",NA(),MATCH($B191&amp;$C191,'Smelter Look-up'!$J:$J,0))</f>
        <v>324</v>
      </c>
      <c r="W191" s="271"/>
      <c r="X191" s="271">
        <f t="shared" si="25"/>
        <v>0</v>
      </c>
      <c r="Y191" s="271"/>
      <c r="Z191" s="271"/>
      <c r="AB191" s="273" t="str">
        <f t="shared" si="26"/>
        <v>TantalumGlobal Advanced Metals Boyertown</v>
      </c>
    </row>
    <row r="192" spans="1:28" s="272" customFormat="1" ht="61.5">
      <c r="A192" s="214" t="s">
        <v>1412</v>
      </c>
      <c r="B192" s="215" t="s">
        <v>1132</v>
      </c>
      <c r="C192" s="219" t="s">
        <v>1411</v>
      </c>
      <c r="D192" s="278"/>
      <c r="E192" s="215" t="s">
        <v>1108</v>
      </c>
      <c r="F192" s="215" t="s">
        <v>1412</v>
      </c>
      <c r="G192" s="215" t="s">
        <v>13459</v>
      </c>
      <c r="H192" s="216">
        <v>0</v>
      </c>
      <c r="I192" s="217" t="s">
        <v>1768</v>
      </c>
      <c r="J192" s="217" t="s">
        <v>1561</v>
      </c>
      <c r="K192" s="268"/>
      <c r="L192" s="268"/>
      <c r="M192" s="268"/>
      <c r="N192" s="268"/>
      <c r="O192" s="268"/>
      <c r="P192" s="218"/>
      <c r="Q192" s="269"/>
      <c r="R192" s="215" t="str">
        <f ca="1">IF(ISERROR($V192),"",OFFSET('Smelter Look-up'!$C$4,$V192-4,0)&amp;"")</f>
        <v>Global Advanced Metals Aizu</v>
      </c>
      <c r="S192" s="222" t="str">
        <f t="shared" ca="1" si="24"/>
        <v>JP</v>
      </c>
      <c r="T192" s="222" t="str">
        <f ca="1">IF(B192="","",IF(ISERROR(MATCH($J192,SorP!$B$1:$B$6230,0)),"",INDIRECT("'SorP'!$A$"&amp;MATCH($J192,SorP!$B$1:$B$6230,0))))</f>
        <v>JP-07</v>
      </c>
      <c r="U192" s="238"/>
      <c r="V192" s="270">
        <f>IF(C192="",NA(),MATCH($B192&amp;$C192,'Smelter Look-up'!$J:$J,0))</f>
        <v>323</v>
      </c>
      <c r="W192" s="271"/>
      <c r="X192" s="271">
        <f t="shared" si="25"/>
        <v>0</v>
      </c>
      <c r="Y192" s="271"/>
      <c r="Z192" s="271"/>
      <c r="AB192" s="273" t="str">
        <f t="shared" si="26"/>
        <v>TantalumGlobal Advanced Metals Aizu</v>
      </c>
    </row>
    <row r="193" spans="1:28" s="272" customFormat="1" ht="61.5">
      <c r="A193" s="214" t="s">
        <v>1713</v>
      </c>
      <c r="B193" s="215" t="s">
        <v>1130</v>
      </c>
      <c r="C193" s="219" t="s">
        <v>1712</v>
      </c>
      <c r="D193" s="278"/>
      <c r="E193" s="215" t="s">
        <v>1092</v>
      </c>
      <c r="F193" s="215" t="s">
        <v>1713</v>
      </c>
      <c r="G193" s="215" t="s">
        <v>13459</v>
      </c>
      <c r="H193" s="216">
        <v>0</v>
      </c>
      <c r="I193" s="217" t="s">
        <v>1714</v>
      </c>
      <c r="J193" s="217" t="s">
        <v>2610</v>
      </c>
      <c r="K193" s="268"/>
      <c r="L193" s="268"/>
      <c r="M193" s="268"/>
      <c r="N193" s="268"/>
      <c r="O193" s="268"/>
      <c r="P193" s="218"/>
      <c r="Q193" s="269"/>
      <c r="R193" s="215" t="str">
        <f ca="1">IF(ISERROR($V193),"",OFFSET('Smelter Look-up'!$C$4,$V193-4,0)&amp;"")</f>
        <v>Al Etihad Gold Refinery DMCC</v>
      </c>
      <c r="S193" s="222" t="str">
        <f t="shared" ca="1" si="24"/>
        <v>AE</v>
      </c>
      <c r="T193" s="222" t="str">
        <f ca="1">IF(B193="","",IF(ISERROR(MATCH($J193,SorP!$B$1:$B$6230,0)),"",INDIRECT("'SorP'!$A$"&amp;MATCH($J193,SorP!$B$1:$B$6230,0))))</f>
        <v>AE-DU</v>
      </c>
      <c r="U193" s="238"/>
      <c r="V193" s="270">
        <f>IF(C193="",NA(),MATCH($B193&amp;$C193,'Smelter Look-up'!$J:$J,0))</f>
        <v>14</v>
      </c>
      <c r="W193" s="271"/>
      <c r="X193" s="271">
        <f t="shared" si="25"/>
        <v>0</v>
      </c>
      <c r="Y193" s="271"/>
      <c r="Z193" s="271"/>
      <c r="AB193" s="273" t="str">
        <f t="shared" si="26"/>
        <v>GoldAl Etihad Gold Refinery DMCC</v>
      </c>
    </row>
    <row r="194" spans="1:28" s="272" customFormat="1" ht="49.2">
      <c r="A194" s="214" t="s">
        <v>1716</v>
      </c>
      <c r="B194" s="215" t="s">
        <v>1130</v>
      </c>
      <c r="C194" s="219" t="s">
        <v>1715</v>
      </c>
      <c r="D194" s="278"/>
      <c r="E194" s="215" t="s">
        <v>1092</v>
      </c>
      <c r="F194" s="215" t="s">
        <v>1716</v>
      </c>
      <c r="G194" s="215" t="s">
        <v>13459</v>
      </c>
      <c r="H194" s="216">
        <v>0</v>
      </c>
      <c r="I194" s="217" t="s">
        <v>1714</v>
      </c>
      <c r="J194" s="217" t="s">
        <v>2610</v>
      </c>
      <c r="K194" s="268"/>
      <c r="L194" s="268"/>
      <c r="M194" s="268"/>
      <c r="N194" s="268"/>
      <c r="O194" s="268"/>
      <c r="P194" s="218"/>
      <c r="Q194" s="269"/>
      <c r="R194" s="215" t="str">
        <f ca="1">IF(ISERROR($V194),"",OFFSET('Smelter Look-up'!$C$4,$V194-4,0)&amp;"")</f>
        <v>Emirates Gold DMCC</v>
      </c>
      <c r="S194" s="222" t="str">
        <f t="shared" ca="1" si="24"/>
        <v>AE</v>
      </c>
      <c r="T194" s="222" t="str">
        <f ca="1">IF(B194="","",IF(ISERROR(MATCH($J194,SorP!$B$1:$B$6230,0)),"",INDIRECT("'SorP'!$A$"&amp;MATCH($J194,SorP!$B$1:$B$6230,0))))</f>
        <v>AE-DU</v>
      </c>
      <c r="U194" s="238"/>
      <c r="V194" s="270">
        <f>IF(C194="",NA(),MATCH($B194&amp;$C194,'Smelter Look-up'!$J:$J,0))</f>
        <v>78</v>
      </c>
      <c r="W194" s="271"/>
      <c r="X194" s="271">
        <f t="shared" si="25"/>
        <v>0</v>
      </c>
      <c r="Y194" s="271"/>
      <c r="Z194" s="271"/>
      <c r="AB194" s="273" t="str">
        <f t="shared" si="26"/>
        <v>GoldEmirates Gold DMCC</v>
      </c>
    </row>
    <row r="195" spans="1:28" s="272" customFormat="1" ht="110.7">
      <c r="A195" s="214" t="s">
        <v>15628</v>
      </c>
      <c r="B195" s="215" t="s">
        <v>1133</v>
      </c>
      <c r="C195" s="219" t="s">
        <v>15629</v>
      </c>
      <c r="D195" s="278"/>
      <c r="E195" s="215" t="s">
        <v>1100</v>
      </c>
      <c r="F195" s="215" t="s">
        <v>15628</v>
      </c>
      <c r="G195" s="215" t="s">
        <v>13459</v>
      </c>
      <c r="H195" s="216">
        <v>0</v>
      </c>
      <c r="I195" s="217" t="s">
        <v>1752</v>
      </c>
      <c r="J195" s="217" t="s">
        <v>13846</v>
      </c>
      <c r="K195" s="268"/>
      <c r="L195" s="268"/>
      <c r="M195" s="268"/>
      <c r="N195" s="268"/>
      <c r="O195" s="268"/>
      <c r="P195" s="218"/>
      <c r="Q195" s="269"/>
      <c r="R195" s="215" t="str">
        <f ca="1">IF(ISERROR($V195),"",OFFSET('Smelter Look-up'!$C$4,$V195-4,0)&amp;"")</f>
        <v/>
      </c>
      <c r="S195" s="222" t="str">
        <f t="shared" ca="1" si="24"/>
        <v>CN</v>
      </c>
      <c r="T195" s="222" t="str">
        <f ca="1">IF(B195="","",IF(ISERROR(MATCH($J195,SorP!$B$1:$B$6230,0)),"",INDIRECT("'SorP'!$A$"&amp;MATCH($J195,SorP!$B$1:$B$6230,0))))</f>
        <v>CN-HN</v>
      </c>
      <c r="U195" s="238"/>
      <c r="V195" s="270" t="e">
        <f>IF(C195="",NA(),MATCH($B195&amp;$C195,'Smelter Look-up'!$J:$J,0))</f>
        <v>#N/A</v>
      </c>
      <c r="W195" s="271"/>
      <c r="X195" s="271">
        <f t="shared" si="25"/>
        <v>0</v>
      </c>
      <c r="Y195" s="271"/>
      <c r="Z195" s="271"/>
      <c r="AB195" s="273" t="str">
        <f t="shared" si="26"/>
        <v>TungstenHunan Chuangda Vanadium Tungsten Co., Ltd. Wuji</v>
      </c>
    </row>
    <row r="196" spans="1:28" s="272" customFormat="1" ht="24.6">
      <c r="A196" s="214" t="s">
        <v>1722</v>
      </c>
      <c r="B196" s="215" t="s">
        <v>1130</v>
      </c>
      <c r="C196" s="219" t="s">
        <v>2234</v>
      </c>
      <c r="D196" s="278"/>
      <c r="E196" s="215" t="s">
        <v>1107</v>
      </c>
      <c r="F196" s="215" t="s">
        <v>1722</v>
      </c>
      <c r="G196" s="215" t="s">
        <v>13459</v>
      </c>
      <c r="H196" s="216">
        <v>0</v>
      </c>
      <c r="I196" s="217" t="s">
        <v>1723</v>
      </c>
      <c r="J196" s="217" t="s">
        <v>6576</v>
      </c>
      <c r="K196" s="268"/>
      <c r="L196" s="268"/>
      <c r="M196" s="268"/>
      <c r="N196" s="268"/>
      <c r="O196" s="268"/>
      <c r="P196" s="218"/>
      <c r="Q196" s="269"/>
      <c r="R196" s="215" t="str">
        <f ca="1">IF(ISERROR($V196),"",OFFSET('Smelter Look-up'!$C$4,$V196-4,0)&amp;"")</f>
        <v>T.C.A S.p.A</v>
      </c>
      <c r="S196" s="222" t="str">
        <f t="shared" ca="1" si="24"/>
        <v>IT</v>
      </c>
      <c r="T196" s="222" t="str">
        <f ca="1">IF(B196="","",IF(ISERROR(MATCH($J196,SorP!$B$1:$B$6230,0)),"",INDIRECT("'SorP'!$A$"&amp;MATCH($J196,SorP!$B$1:$B$6230,0))))</f>
        <v>IT-52</v>
      </c>
      <c r="U196" s="238"/>
      <c r="V196" s="270">
        <f>IF(C196="",NA(),MATCH($B196&amp;$C196,'Smelter Look-up'!$J:$J,0))</f>
        <v>262</v>
      </c>
      <c r="W196" s="271"/>
      <c r="X196" s="271">
        <f t="shared" si="25"/>
        <v>0</v>
      </c>
      <c r="Y196" s="271"/>
      <c r="Z196" s="271"/>
      <c r="AB196" s="273" t="str">
        <f t="shared" si="26"/>
        <v>GoldT.C.A S.p.A</v>
      </c>
    </row>
    <row r="197" spans="1:28" s="272" customFormat="1" ht="49.2">
      <c r="A197" s="214" t="s">
        <v>2342</v>
      </c>
      <c r="B197" s="215" t="s">
        <v>1130</v>
      </c>
      <c r="C197" s="219" t="s">
        <v>14016</v>
      </c>
      <c r="D197" s="278"/>
      <c r="E197" s="215" t="s">
        <v>1116</v>
      </c>
      <c r="F197" s="215" t="s">
        <v>2342</v>
      </c>
      <c r="G197" s="215" t="s">
        <v>13459</v>
      </c>
      <c r="H197" s="216">
        <v>0</v>
      </c>
      <c r="I197" s="217" t="s">
        <v>2378</v>
      </c>
      <c r="J197" s="217" t="s">
        <v>9077</v>
      </c>
      <c r="K197" s="268"/>
      <c r="L197" s="268"/>
      <c r="M197" s="268"/>
      <c r="N197" s="268"/>
      <c r="O197" s="268"/>
      <c r="P197" s="218"/>
      <c r="Q197" s="269"/>
      <c r="R197" s="215" t="str">
        <f ca="1">IF(ISERROR($V197),"",OFFSET('Smelter Look-up'!$C$4,$V197-4,0)&amp;"")</f>
        <v>REMONDIS PMR B.V.</v>
      </c>
      <c r="S197" s="222" t="str">
        <f t="shared" ref="S197" ca="1" si="27">IF(B197="","",IF(ISERROR(MATCH($E197,CL,0)),"Unknown",INDIRECT("'C'!$A$"&amp;MATCH($E197,CL,0)+1)))</f>
        <v>NL</v>
      </c>
      <c r="T197" s="222" t="str">
        <f ca="1">IF(B197="","",IF(ISERROR(MATCH($J197,SorP!$B$1:$B$6230,0)),"",INDIRECT("'SorP'!$A$"&amp;MATCH($J197,SorP!$B$1:$B$6230,0))))</f>
        <v>NL-NB</v>
      </c>
      <c r="U197" s="238"/>
      <c r="V197" s="270">
        <f>IF(C197="",NA(),MATCH($B197&amp;$C197,'Smelter Look-up'!$J:$J,0))</f>
        <v>214</v>
      </c>
      <c r="W197" s="271"/>
      <c r="X197" s="271">
        <f t="shared" ref="X197" si="28">IF(AND(C197="Smelter not listed",OR(LEN(D197)=0,LEN(E197)=0)),1,0)</f>
        <v>0</v>
      </c>
      <c r="Y197" s="271"/>
      <c r="Z197" s="271"/>
      <c r="AB197" s="273" t="str">
        <f t="shared" ref="AB197" si="29">B197&amp;C197</f>
        <v>GoldREMONDIS PMR B.V.</v>
      </c>
    </row>
    <row r="198" spans="1:28" s="272" customFormat="1" ht="49.2">
      <c r="A198" s="214" t="s">
        <v>1857</v>
      </c>
      <c r="B198" s="215" t="s">
        <v>1133</v>
      </c>
      <c r="C198" s="219" t="s">
        <v>1856</v>
      </c>
      <c r="D198" s="278"/>
      <c r="E198" s="215" t="s">
        <v>2463</v>
      </c>
      <c r="F198" s="215" t="s">
        <v>1857</v>
      </c>
      <c r="G198" s="215" t="s">
        <v>13459</v>
      </c>
      <c r="H198" s="216">
        <v>0</v>
      </c>
      <c r="I198" s="217" t="s">
        <v>1858</v>
      </c>
      <c r="J198" s="217" t="s">
        <v>1624</v>
      </c>
      <c r="K198" s="268"/>
      <c r="L198" s="268"/>
      <c r="M198" s="268"/>
      <c r="N198" s="268"/>
      <c r="O198" s="268"/>
      <c r="P198" s="218"/>
      <c r="Q198" s="269"/>
      <c r="R198" s="215" t="str">
        <f ca="1">IF(ISERROR($V198),"",OFFSET('Smelter Look-up'!$C$4,$V198-4,0)&amp;"")</f>
        <v>Niagara Refining LLC</v>
      </c>
      <c r="S198" s="222" t="str">
        <f t="shared" ref="S198:S229" ca="1" si="30">IF(B198="","",IF(ISERROR(MATCH($E198,CL,0)),"Unknown",INDIRECT("'C'!$A$"&amp;MATCH($E198,CL,0)+1)))</f>
        <v>US</v>
      </c>
      <c r="T198" s="222" t="str">
        <f ca="1">IF(B198="","",IF(ISERROR(MATCH($J198,SorP!$B$1:$B$6230,0)),"",INDIRECT("'SorP'!$A$"&amp;MATCH($J198,SorP!$B$1:$B$6230,0))))</f>
        <v>US-NY</v>
      </c>
      <c r="U198" s="238"/>
      <c r="V198" s="270">
        <f>IF(C198="",NA(),MATCH($B198&amp;$C198,'Smelter Look-up'!$J:$J,0))</f>
        <v>590</v>
      </c>
      <c r="W198" s="271"/>
      <c r="X198" s="271">
        <f t="shared" ref="X198:X229" si="31">IF(AND(C198="Smelter not listed",OR(LEN(D198)=0,LEN(E198)=0)),1,0)</f>
        <v>0</v>
      </c>
      <c r="Y198" s="271"/>
      <c r="Z198" s="271"/>
      <c r="AB198" s="273" t="str">
        <f t="shared" ref="AB198:AB229" si="32">B198&amp;C198</f>
        <v>TungstenNiagara Refining LLC</v>
      </c>
    </row>
    <row r="199" spans="1:28" s="272" customFormat="1" ht="36.9">
      <c r="A199" s="214" t="s">
        <v>1724</v>
      </c>
      <c r="B199" s="215" t="s">
        <v>1130</v>
      </c>
      <c r="C199" s="219" t="s">
        <v>2328</v>
      </c>
      <c r="D199" s="278"/>
      <c r="E199" s="215" t="s">
        <v>1111</v>
      </c>
      <c r="F199" s="215" t="s">
        <v>1724</v>
      </c>
      <c r="G199" s="215" t="s">
        <v>13459</v>
      </c>
      <c r="H199" s="216">
        <v>0</v>
      </c>
      <c r="I199" s="217" t="s">
        <v>1725</v>
      </c>
      <c r="J199" s="217" t="s">
        <v>13091</v>
      </c>
      <c r="K199" s="268"/>
      <c r="L199" s="268"/>
      <c r="M199" s="268"/>
      <c r="N199" s="268"/>
      <c r="O199" s="268"/>
      <c r="P199" s="218"/>
      <c r="Q199" s="269"/>
      <c r="R199" s="215" t="str">
        <f ca="1">IF(ISERROR($V199),"",OFFSET('Smelter Look-up'!$C$4,$V199-4,0)&amp;"")</f>
        <v>Korea Zinc Co., Ltd.</v>
      </c>
      <c r="S199" s="222" t="str">
        <f t="shared" ca="1" si="30"/>
        <v>KR</v>
      </c>
      <c r="T199" s="222" t="str">
        <f ca="1">IF(B199="","",IF(ISERROR(MATCH($J199,SorP!$B$1:$B$6230,0)),"",INDIRECT("'SorP'!$A$"&amp;MATCH($J199,SorP!$B$1:$B$6230,0))))</f>
        <v>KR-11</v>
      </c>
      <c r="U199" s="238"/>
      <c r="V199" s="270">
        <f>IF(C199="",NA(),MATCH($B199&amp;$C199,'Smelter Look-up'!$J:$J,0))</f>
        <v>140</v>
      </c>
      <c r="W199" s="271"/>
      <c r="X199" s="271">
        <f t="shared" si="31"/>
        <v>0</v>
      </c>
      <c r="Y199" s="271"/>
      <c r="Z199" s="271"/>
      <c r="AB199" s="273" t="str">
        <f t="shared" si="32"/>
        <v>GoldKorea Zinc Co., Ltd.</v>
      </c>
    </row>
    <row r="200" spans="1:28" s="272" customFormat="1" ht="36.9">
      <c r="A200" s="214" t="s">
        <v>2541</v>
      </c>
      <c r="B200" s="215" t="s">
        <v>1130</v>
      </c>
      <c r="C200" s="219" t="s">
        <v>2540</v>
      </c>
      <c r="D200" s="278"/>
      <c r="E200" s="215" t="s">
        <v>1096</v>
      </c>
      <c r="F200" s="215" t="s">
        <v>2541</v>
      </c>
      <c r="G200" s="215" t="s">
        <v>13459</v>
      </c>
      <c r="H200" s="216">
        <v>0</v>
      </c>
      <c r="I200" s="217" t="s">
        <v>2542</v>
      </c>
      <c r="J200" s="217" t="s">
        <v>1683</v>
      </c>
      <c r="K200" s="268"/>
      <c r="L200" s="268"/>
      <c r="M200" s="268"/>
      <c r="N200" s="268"/>
      <c r="O200" s="268"/>
      <c r="P200" s="218"/>
      <c r="Q200" s="269"/>
      <c r="R200" s="215" t="str">
        <f ca="1">IF(ISERROR($V200),"",OFFSET('Smelter Look-up'!$C$4,$V200-4,0)&amp;"")</f>
        <v>Marsam Metals</v>
      </c>
      <c r="S200" s="222" t="str">
        <f t="shared" ca="1" si="30"/>
        <v>BR</v>
      </c>
      <c r="T200" s="222" t="str">
        <f ca="1">IF(B200="","",IF(ISERROR(MATCH($J200,SorP!$B$1:$B$6230,0)),"",INDIRECT("'SorP'!$A$"&amp;MATCH($J200,SorP!$B$1:$B$6230,0))))</f>
        <v>BR-SP</v>
      </c>
      <c r="U200" s="238"/>
      <c r="V200" s="270">
        <f>IF(C200="",NA(),MATCH($B200&amp;$C200,'Smelter Look-up'!$J:$J,0))</f>
        <v>158</v>
      </c>
      <c r="W200" s="271"/>
      <c r="X200" s="271">
        <f t="shared" si="31"/>
        <v>0</v>
      </c>
      <c r="Y200" s="271"/>
      <c r="Z200" s="271"/>
      <c r="AB200" s="273" t="str">
        <f t="shared" si="32"/>
        <v>GoldMarsam Metals</v>
      </c>
    </row>
    <row r="201" spans="1:28" s="272" customFormat="1" ht="36.9">
      <c r="A201" s="214" t="s">
        <v>2355</v>
      </c>
      <c r="B201" s="215" t="s">
        <v>1130</v>
      </c>
      <c r="C201" s="219" t="s">
        <v>2354</v>
      </c>
      <c r="D201" s="278"/>
      <c r="E201" s="215" t="s">
        <v>1109</v>
      </c>
      <c r="F201" s="215" t="s">
        <v>2355</v>
      </c>
      <c r="G201" s="215" t="s">
        <v>13459</v>
      </c>
      <c r="H201" s="216">
        <v>0</v>
      </c>
      <c r="I201" s="217" t="s">
        <v>2356</v>
      </c>
      <c r="J201" s="217" t="s">
        <v>2357</v>
      </c>
      <c r="K201" s="268"/>
      <c r="L201" s="268"/>
      <c r="M201" s="268"/>
      <c r="N201" s="268"/>
      <c r="O201" s="268"/>
      <c r="P201" s="218"/>
      <c r="Q201" s="269"/>
      <c r="R201" s="215" t="str">
        <f ca="1">IF(ISERROR($V201),"",OFFSET('Smelter Look-up'!$C$4,$V201-4,0)&amp;"")</f>
        <v>TOO Tau-Ken-Altyn</v>
      </c>
      <c r="S201" s="222" t="str">
        <f t="shared" ca="1" si="30"/>
        <v>KZ</v>
      </c>
      <c r="T201" s="222" t="str">
        <f ca="1">IF(B201="","",IF(ISERROR(MATCH($J201,SorP!$B$1:$B$6230,0)),"",INDIRECT("'SorP'!$A$"&amp;MATCH($J201,SorP!$B$1:$B$6230,0))))</f>
        <v>KZ-ALA</v>
      </c>
      <c r="U201" s="238"/>
      <c r="V201" s="270">
        <f>IF(C201="",NA(),MATCH($B201&amp;$C201,'Smelter Look-up'!$J:$J,0))</f>
        <v>280</v>
      </c>
      <c r="W201" s="271"/>
      <c r="X201" s="271">
        <f t="shared" si="31"/>
        <v>0</v>
      </c>
      <c r="Y201" s="271"/>
      <c r="Z201" s="271"/>
      <c r="AB201" s="273" t="str">
        <f t="shared" si="32"/>
        <v>GoldTOO Tau-Ken-Altyn</v>
      </c>
    </row>
    <row r="202" spans="1:28" s="272" customFormat="1" ht="98.4">
      <c r="A202" s="214" t="s">
        <v>2569</v>
      </c>
      <c r="B202" s="215" t="s">
        <v>1133</v>
      </c>
      <c r="C202" s="219" t="s">
        <v>13154</v>
      </c>
      <c r="D202" s="278"/>
      <c r="E202" s="215" t="s">
        <v>1100</v>
      </c>
      <c r="F202" s="215" t="s">
        <v>2569</v>
      </c>
      <c r="G202" s="215" t="s">
        <v>13459</v>
      </c>
      <c r="H202" s="216">
        <v>0</v>
      </c>
      <c r="I202" s="217" t="s">
        <v>1787</v>
      </c>
      <c r="J202" s="217" t="s">
        <v>13842</v>
      </c>
      <c r="K202" s="268"/>
      <c r="L202" s="268"/>
      <c r="M202" s="268"/>
      <c r="N202" s="268"/>
      <c r="O202" s="268"/>
      <c r="P202" s="218"/>
      <c r="Q202" s="269"/>
      <c r="R202" s="215" t="str">
        <f ca="1">IF(ISERROR($V202),"",OFFSET('Smelter Look-up'!$C$4,$V202-4,0)&amp;"")</f>
        <v>Ganzhou Haichuang Tungsten Co., Ltd.</v>
      </c>
      <c r="S202" s="222" t="str">
        <f t="shared" ca="1" si="30"/>
        <v>CN</v>
      </c>
      <c r="T202" s="222" t="str">
        <f ca="1">IF(B202="","",IF(ISERROR(MATCH($J202,SorP!$B$1:$B$6230,0)),"",INDIRECT("'SorP'!$A$"&amp;MATCH($J202,SorP!$B$1:$B$6230,0))))</f>
        <v>CN-JX</v>
      </c>
      <c r="U202" s="238"/>
      <c r="V202" s="270">
        <f>IF(C202="",NA(),MATCH($B202&amp;$C202,'Smelter Look-up'!$J:$J,0))</f>
        <v>555</v>
      </c>
      <c r="W202" s="271"/>
      <c r="X202" s="271">
        <f t="shared" si="31"/>
        <v>0</v>
      </c>
      <c r="Y202" s="271"/>
      <c r="Z202" s="271"/>
      <c r="AB202" s="273" t="str">
        <f t="shared" si="32"/>
        <v>TungstenGanzhou Haichuang Tungsten Co., Ltd.</v>
      </c>
    </row>
    <row r="203" spans="1:28" s="272" customFormat="1" ht="98.4">
      <c r="A203" s="214" t="s">
        <v>15630</v>
      </c>
      <c r="B203" s="215" t="s">
        <v>1133</v>
      </c>
      <c r="C203" s="219" t="s">
        <v>15631</v>
      </c>
      <c r="D203" s="278"/>
      <c r="E203" s="215" t="s">
        <v>1100</v>
      </c>
      <c r="F203" s="215" t="s">
        <v>15630</v>
      </c>
      <c r="G203" s="215" t="s">
        <v>13459</v>
      </c>
      <c r="H203" s="216">
        <v>0</v>
      </c>
      <c r="I203" s="217" t="s">
        <v>15632</v>
      </c>
      <c r="J203" s="217" t="s">
        <v>13842</v>
      </c>
      <c r="K203" s="268"/>
      <c r="L203" s="268"/>
      <c r="M203" s="268"/>
      <c r="N203" s="268"/>
      <c r="O203" s="268"/>
      <c r="P203" s="218"/>
      <c r="Q203" s="269"/>
      <c r="R203" s="215" t="str">
        <f ca="1">IF(ISERROR($V203),"",OFFSET('Smelter Look-up'!$C$4,$V203-4,0)&amp;"")</f>
        <v/>
      </c>
      <c r="S203" s="222" t="str">
        <f t="shared" ca="1" si="30"/>
        <v>CN</v>
      </c>
      <c r="T203" s="222" t="str">
        <f ca="1">IF(B203="","",IF(ISERROR(MATCH($J203,SorP!$B$1:$B$6230,0)),"",INDIRECT("'SorP'!$A$"&amp;MATCH($J203,SorP!$B$1:$B$6230,0))))</f>
        <v>CN-JX</v>
      </c>
      <c r="U203" s="238"/>
      <c r="V203" s="270" t="e">
        <f>IF(C203="",NA(),MATCH($B203&amp;$C203,'Smelter Look-up'!$J:$J,0))</f>
        <v>#N/A</v>
      </c>
      <c r="W203" s="271"/>
      <c r="X203" s="271">
        <f t="shared" si="31"/>
        <v>0</v>
      </c>
      <c r="Y203" s="271"/>
      <c r="Z203" s="271"/>
      <c r="AB203" s="273" t="str">
        <f t="shared" si="32"/>
        <v>TungstenJiangxi Dayu Longxintai Tungsten Co., Ltd.</v>
      </c>
    </row>
    <row r="204" spans="1:28" s="272" customFormat="1" ht="49.2">
      <c r="A204" s="214" t="s">
        <v>1860</v>
      </c>
      <c r="B204" s="215" t="s">
        <v>1133</v>
      </c>
      <c r="C204" s="219" t="s">
        <v>1859</v>
      </c>
      <c r="D204" s="278"/>
      <c r="E204" s="215" t="s">
        <v>883</v>
      </c>
      <c r="F204" s="215" t="s">
        <v>1860</v>
      </c>
      <c r="G204" s="215" t="s">
        <v>13459</v>
      </c>
      <c r="H204" s="216">
        <v>0</v>
      </c>
      <c r="I204" s="217" t="s">
        <v>1861</v>
      </c>
      <c r="J204" s="217" t="s">
        <v>10236</v>
      </c>
      <c r="K204" s="268"/>
      <c r="L204" s="268"/>
      <c r="M204" s="268"/>
      <c r="N204" s="268"/>
      <c r="O204" s="268"/>
      <c r="P204" s="218"/>
      <c r="Q204" s="269"/>
      <c r="R204" s="215" t="str">
        <f ca="1">IF(ISERROR($V204),"",OFFSET('Smelter Look-up'!$C$4,$V204-4,0)&amp;"")</f>
        <v>Hydrometallurg, JSC</v>
      </c>
      <c r="S204" s="222" t="str">
        <f t="shared" ca="1" si="30"/>
        <v>RU</v>
      </c>
      <c r="T204" s="222" t="str">
        <f ca="1">IF(B204="","",IF(ISERROR(MATCH($J204,SorP!$B$1:$B$6230,0)),"",INDIRECT("'SorP'!$A$"&amp;MATCH($J204,SorP!$B$1:$B$6230,0))))</f>
        <v>RU-KB</v>
      </c>
      <c r="U204" s="238"/>
      <c r="V204" s="270">
        <f>IF(C204="",NA(),MATCH($B204&amp;$C204,'Smelter Look-up'!$J:$J,0))</f>
        <v>571</v>
      </c>
      <c r="W204" s="271"/>
      <c r="X204" s="271">
        <f t="shared" si="31"/>
        <v>0</v>
      </c>
      <c r="Y204" s="271"/>
      <c r="Z204" s="271"/>
      <c r="AB204" s="273" t="str">
        <f t="shared" si="32"/>
        <v>TungstenHydrometallurg, JSC</v>
      </c>
    </row>
    <row r="205" spans="1:28" s="272" customFormat="1" ht="73.8">
      <c r="A205" s="214" t="s">
        <v>1829</v>
      </c>
      <c r="B205" s="215" t="s">
        <v>1131</v>
      </c>
      <c r="C205" s="219" t="s">
        <v>12646</v>
      </c>
      <c r="D205" s="278"/>
      <c r="E205" s="215" t="s">
        <v>1096</v>
      </c>
      <c r="F205" s="215" t="s">
        <v>1829</v>
      </c>
      <c r="G205" s="215" t="s">
        <v>13459</v>
      </c>
      <c r="H205" s="216">
        <v>0</v>
      </c>
      <c r="I205" s="217" t="s">
        <v>1732</v>
      </c>
      <c r="J205" s="217" t="s">
        <v>1771</v>
      </c>
      <c r="K205" s="268"/>
      <c r="L205" s="268"/>
      <c r="M205" s="268"/>
      <c r="N205" s="268"/>
      <c r="O205" s="268"/>
      <c r="P205" s="218"/>
      <c r="Q205" s="269"/>
      <c r="R205" s="215" t="str">
        <f ca="1">IF(ISERROR($V205),"",OFFSET('Smelter Look-up'!$C$4,$V205-4,0)&amp;"")</f>
        <v>Resind Industria e Comercio Ltda.</v>
      </c>
      <c r="S205" s="222" t="str">
        <f t="shared" ca="1" si="30"/>
        <v>BR</v>
      </c>
      <c r="T205" s="222" t="str">
        <f ca="1">IF(B205="","",IF(ISERROR(MATCH($J205,SorP!$B$1:$B$6230,0)),"",INDIRECT("'SorP'!$A$"&amp;MATCH($J205,SorP!$B$1:$B$6230,0))))</f>
        <v>BR-MG</v>
      </c>
      <c r="U205" s="238"/>
      <c r="V205" s="270">
        <f>IF(C205="",NA(),MATCH($B205&amp;$C205,'Smelter Look-up'!$J:$J,0))</f>
        <v>495</v>
      </c>
      <c r="W205" s="271"/>
      <c r="X205" s="271">
        <f t="shared" si="31"/>
        <v>0</v>
      </c>
      <c r="Y205" s="271"/>
      <c r="Z205" s="271"/>
      <c r="AB205" s="273" t="str">
        <f t="shared" si="32"/>
        <v>TinResind Industria e Comercio Ltda.</v>
      </c>
    </row>
    <row r="206" spans="1:28" s="272" customFormat="1" ht="73.8">
      <c r="A206" s="214" t="s">
        <v>1770</v>
      </c>
      <c r="B206" s="215" t="s">
        <v>1132</v>
      </c>
      <c r="C206" s="219" t="s">
        <v>12646</v>
      </c>
      <c r="D206" s="278"/>
      <c r="E206" s="215" t="s">
        <v>1096</v>
      </c>
      <c r="F206" s="215" t="s">
        <v>1770</v>
      </c>
      <c r="G206" s="215" t="s">
        <v>13459</v>
      </c>
      <c r="H206" s="216">
        <v>0</v>
      </c>
      <c r="I206" s="217" t="s">
        <v>1732</v>
      </c>
      <c r="J206" s="217" t="s">
        <v>1771</v>
      </c>
      <c r="K206" s="268"/>
      <c r="L206" s="268"/>
      <c r="M206" s="268"/>
      <c r="N206" s="268"/>
      <c r="O206" s="268"/>
      <c r="P206" s="218"/>
      <c r="Q206" s="269"/>
      <c r="R206" s="215" t="str">
        <f ca="1">IF(ISERROR($V206),"",OFFSET('Smelter Look-up'!$C$4,$V206-4,0)&amp;"")</f>
        <v>Resind Industria e Comercio Ltda.</v>
      </c>
      <c r="S206" s="222" t="str">
        <f t="shared" ca="1" si="30"/>
        <v>BR</v>
      </c>
      <c r="T206" s="222" t="str">
        <f ca="1">IF(B206="","",IF(ISERROR(MATCH($J206,SorP!$B$1:$B$6230,0)),"",INDIRECT("'SorP'!$A$"&amp;MATCH($J206,SorP!$B$1:$B$6230,0))))</f>
        <v>BR-MG</v>
      </c>
      <c r="U206" s="238"/>
      <c r="V206" s="270">
        <f>IF(C206="",NA(),MATCH($B206&amp;$C206,'Smelter Look-up'!$J:$J,0))</f>
        <v>359</v>
      </c>
      <c r="W206" s="271"/>
      <c r="X206" s="271">
        <f t="shared" si="31"/>
        <v>0</v>
      </c>
      <c r="Y206" s="271"/>
      <c r="Z206" s="271"/>
      <c r="AB206" s="273" t="str">
        <f t="shared" si="32"/>
        <v>TantalumResind Industria e Comercio Ltda.</v>
      </c>
    </row>
    <row r="207" spans="1:28" s="272" customFormat="1" ht="73.8">
      <c r="A207" s="214" t="s">
        <v>2479</v>
      </c>
      <c r="B207" s="215" t="s">
        <v>1133</v>
      </c>
      <c r="C207" s="219" t="s">
        <v>2478</v>
      </c>
      <c r="D207" s="278"/>
      <c r="E207" s="215" t="s">
        <v>883</v>
      </c>
      <c r="F207" s="215" t="s">
        <v>2479</v>
      </c>
      <c r="G207" s="215" t="s">
        <v>13459</v>
      </c>
      <c r="H207" s="216">
        <v>0</v>
      </c>
      <c r="I207" s="217" t="s">
        <v>2574</v>
      </c>
      <c r="J207" s="217" t="s">
        <v>10156</v>
      </c>
      <c r="K207" s="268"/>
      <c r="L207" s="268"/>
      <c r="M207" s="268"/>
      <c r="N207" s="268"/>
      <c r="O207" s="268"/>
      <c r="P207" s="218"/>
      <c r="Q207" s="269"/>
      <c r="R207" s="215" t="str">
        <f ca="1">IF(ISERROR($V207),"",OFFSET('Smelter Look-up'!$C$4,$V207-4,0)&amp;"")</f>
        <v>Unecha Refractory metals plant</v>
      </c>
      <c r="S207" s="222" t="str">
        <f t="shared" ca="1" si="30"/>
        <v>RU</v>
      </c>
      <c r="T207" s="222" t="str">
        <f ca="1">IF(B207="","",IF(ISERROR(MATCH($J207,SorP!$B$1:$B$6230,0)),"",INDIRECT("'SorP'!$A$"&amp;MATCH($J207,SorP!$B$1:$B$6230,0))))</f>
        <v>RU-BRY</v>
      </c>
      <c r="U207" s="238"/>
      <c r="V207" s="270">
        <f>IF(C207="",NA(),MATCH($B207&amp;$C207,'Smelter Look-up'!$J:$J,0))</f>
        <v>597</v>
      </c>
      <c r="W207" s="271"/>
      <c r="X207" s="271">
        <f t="shared" si="31"/>
        <v>0</v>
      </c>
      <c r="Y207" s="271"/>
      <c r="Z207" s="271"/>
      <c r="AB207" s="273" t="str">
        <f t="shared" si="32"/>
        <v>TungstenUnecha Refractory metals plant</v>
      </c>
    </row>
    <row r="208" spans="1:28" s="272" customFormat="1" ht="36.9">
      <c r="A208" s="214" t="s">
        <v>2471</v>
      </c>
      <c r="B208" s="215" t="s">
        <v>1130</v>
      </c>
      <c r="C208" s="219" t="s">
        <v>2470</v>
      </c>
      <c r="D208" s="278"/>
      <c r="E208" s="215" t="s">
        <v>1091</v>
      </c>
      <c r="F208" s="215" t="s">
        <v>2471</v>
      </c>
      <c r="G208" s="215" t="s">
        <v>13459</v>
      </c>
      <c r="H208" s="216">
        <v>0</v>
      </c>
      <c r="I208" s="217" t="s">
        <v>2481</v>
      </c>
      <c r="J208" s="217" t="s">
        <v>2481</v>
      </c>
      <c r="K208" s="268"/>
      <c r="L208" s="268"/>
      <c r="M208" s="268"/>
      <c r="N208" s="268"/>
      <c r="O208" s="268"/>
      <c r="P208" s="218"/>
      <c r="Q208" s="269"/>
      <c r="R208" s="215" t="str">
        <f ca="1">IF(ISERROR($V208),"",OFFSET('Smelter Look-up'!$C$4,$V208-4,0)&amp;"")</f>
        <v>L'Orfebre S.A.</v>
      </c>
      <c r="S208" s="222" t="str">
        <f t="shared" ca="1" si="30"/>
        <v>AD</v>
      </c>
      <c r="T208" s="222" t="str">
        <f ca="1">IF(B208="","",IF(ISERROR(MATCH($J208,SorP!$B$1:$B$6230,0)),"",INDIRECT("'SorP'!$A$"&amp;MATCH($J208,SorP!$B$1:$B$6230,0))))</f>
        <v>AD-07</v>
      </c>
      <c r="U208" s="238"/>
      <c r="V208" s="270">
        <f>IF(C208="",NA(),MATCH($B208&amp;$C208,'Smelter Look-up'!$J:$J,0))</f>
        <v>152</v>
      </c>
      <c r="W208" s="271"/>
      <c r="X208" s="271">
        <f t="shared" si="31"/>
        <v>0</v>
      </c>
      <c r="Y208" s="271"/>
      <c r="Z208" s="271"/>
      <c r="AB208" s="273" t="str">
        <f t="shared" si="32"/>
        <v>GoldL'Orfebre S.A.</v>
      </c>
    </row>
    <row r="209" spans="1:28" s="272" customFormat="1" ht="24.6">
      <c r="A209" s="214" t="s">
        <v>2535</v>
      </c>
      <c r="B209" s="215" t="s">
        <v>1130</v>
      </c>
      <c r="C209" s="219" t="s">
        <v>2534</v>
      </c>
      <c r="D209" s="278"/>
      <c r="E209" s="215" t="s">
        <v>1107</v>
      </c>
      <c r="F209" s="215" t="s">
        <v>2535</v>
      </c>
      <c r="G209" s="215" t="s">
        <v>13459</v>
      </c>
      <c r="H209" s="216">
        <v>0</v>
      </c>
      <c r="I209" s="217" t="s">
        <v>1576</v>
      </c>
      <c r="J209" s="217" t="s">
        <v>6576</v>
      </c>
      <c r="K209" s="268"/>
      <c r="L209" s="268"/>
      <c r="M209" s="268"/>
      <c r="N209" s="268"/>
      <c r="O209" s="268"/>
      <c r="P209" s="218"/>
      <c r="Q209" s="269"/>
      <c r="R209" s="215" t="str">
        <f ca="1">IF(ISERROR($V209),"",OFFSET('Smelter Look-up'!$C$4,$V209-4,0)&amp;"")</f>
        <v>Italpreziosi</v>
      </c>
      <c r="S209" s="222" t="str">
        <f t="shared" ca="1" si="30"/>
        <v>IT</v>
      </c>
      <c r="T209" s="222" t="str">
        <f ca="1">IF(B209="","",IF(ISERROR(MATCH($J209,SorP!$B$1:$B$6230,0)),"",INDIRECT("'SorP'!$A$"&amp;MATCH($J209,SorP!$B$1:$B$6230,0))))</f>
        <v>IT-52</v>
      </c>
      <c r="U209" s="238"/>
      <c r="V209" s="270">
        <f>IF(C209="",NA(),MATCH($B209&amp;$C209,'Smelter Look-up'!$J:$J,0))</f>
        <v>116</v>
      </c>
      <c r="W209" s="271"/>
      <c r="X209" s="271">
        <f t="shared" si="31"/>
        <v>0</v>
      </c>
      <c r="Y209" s="271"/>
      <c r="Z209" s="271"/>
      <c r="AB209" s="273" t="str">
        <f t="shared" si="32"/>
        <v>GoldItalpreziosi</v>
      </c>
    </row>
    <row r="210" spans="1:28" s="272" customFormat="1" ht="61.5">
      <c r="A210" s="214" t="s">
        <v>2222</v>
      </c>
      <c r="B210" s="215" t="s">
        <v>1130</v>
      </c>
      <c r="C210" s="219" t="s">
        <v>2219</v>
      </c>
      <c r="D210" s="278"/>
      <c r="E210" s="215" t="s">
        <v>1101</v>
      </c>
      <c r="F210" s="215" t="s">
        <v>2222</v>
      </c>
      <c r="G210" s="215" t="s">
        <v>13459</v>
      </c>
      <c r="H210" s="216">
        <v>0</v>
      </c>
      <c r="I210" s="217" t="s">
        <v>1784</v>
      </c>
      <c r="J210" s="217" t="s">
        <v>4271</v>
      </c>
      <c r="K210" s="268"/>
      <c r="L210" s="268"/>
      <c r="M210" s="268"/>
      <c r="N210" s="268"/>
      <c r="O210" s="268"/>
      <c r="P210" s="218"/>
      <c r="Q210" s="269"/>
      <c r="R210" s="215" t="str">
        <f ca="1">IF(ISERROR($V210),"",OFFSET('Smelter Look-up'!$C$4,$V210-4,0)&amp;"")</f>
        <v>SAXONIA Edelmetalle GmbH</v>
      </c>
      <c r="S210" s="222" t="str">
        <f t="shared" ca="1" si="30"/>
        <v>DE</v>
      </c>
      <c r="T210" s="222" t="str">
        <f ca="1">IF(B210="","",IF(ISERROR(MATCH($J210,SorP!$B$1:$B$6230,0)),"",INDIRECT("'SorP'!$A$"&amp;MATCH($J210,SorP!$B$1:$B$6230,0))))</f>
        <v>DE-SN</v>
      </c>
      <c r="U210" s="238"/>
      <c r="V210" s="270">
        <f>IF(C210="",NA(),MATCH($B210&amp;$C210,'Smelter Look-up'!$J:$J,0))</f>
        <v>226</v>
      </c>
      <c r="W210" s="271"/>
      <c r="X210" s="271">
        <f t="shared" si="31"/>
        <v>0</v>
      </c>
      <c r="Y210" s="271"/>
      <c r="Z210" s="271"/>
      <c r="AB210" s="273" t="str">
        <f t="shared" si="32"/>
        <v>GoldSAXONIA Edelmetalle GmbH</v>
      </c>
    </row>
    <row r="211" spans="1:28" s="272" customFormat="1" ht="61.5">
      <c r="A211" s="214" t="s">
        <v>2223</v>
      </c>
      <c r="B211" s="215" t="s">
        <v>1130</v>
      </c>
      <c r="C211" s="219" t="s">
        <v>2220</v>
      </c>
      <c r="D211" s="278"/>
      <c r="E211" s="215" t="s">
        <v>1101</v>
      </c>
      <c r="F211" s="215" t="s">
        <v>2223</v>
      </c>
      <c r="G211" s="215" t="s">
        <v>13459</v>
      </c>
      <c r="H211" s="216">
        <v>0</v>
      </c>
      <c r="I211" s="217" t="s">
        <v>1549</v>
      </c>
      <c r="J211" s="217" t="s">
        <v>1550</v>
      </c>
      <c r="K211" s="268"/>
      <c r="L211" s="268"/>
      <c r="M211" s="268"/>
      <c r="N211" s="268"/>
      <c r="O211" s="268"/>
      <c r="P211" s="218"/>
      <c r="Q211" s="269"/>
      <c r="R211" s="215" t="str">
        <f ca="1">IF(ISERROR($V211),"",OFFSET('Smelter Look-up'!$C$4,$V211-4,0)&amp;"")</f>
        <v>WIELAND Edelmetalle GmbH</v>
      </c>
      <c r="S211" s="222" t="str">
        <f t="shared" ca="1" si="30"/>
        <v>DE</v>
      </c>
      <c r="T211" s="222" t="str">
        <f ca="1">IF(B211="","",IF(ISERROR(MATCH($J211,SorP!$B$1:$B$6230,0)),"",INDIRECT("'SorP'!$A$"&amp;MATCH($J211,SorP!$B$1:$B$6230,0))))</f>
        <v>DE-BW</v>
      </c>
      <c r="U211" s="238"/>
      <c r="V211" s="270">
        <f>IF(C211="",NA(),MATCH($B211&amp;$C211,'Smelter Look-up'!$J:$J,0))</f>
        <v>292</v>
      </c>
      <c r="W211" s="271"/>
      <c r="X211" s="271">
        <f t="shared" si="31"/>
        <v>0</v>
      </c>
      <c r="Y211" s="271"/>
      <c r="Z211" s="271"/>
      <c r="AB211" s="273" t="str">
        <f t="shared" si="32"/>
        <v>GoldWIELAND Edelmetalle GmbH</v>
      </c>
    </row>
    <row r="212" spans="1:28" s="272" customFormat="1" ht="98.4">
      <c r="A212" s="214" t="s">
        <v>2292</v>
      </c>
      <c r="B212" s="215" t="s">
        <v>1133</v>
      </c>
      <c r="C212" s="219" t="s">
        <v>2371</v>
      </c>
      <c r="D212" s="278"/>
      <c r="E212" s="215" t="s">
        <v>881</v>
      </c>
      <c r="F212" s="215" t="s">
        <v>2292</v>
      </c>
      <c r="G212" s="215" t="s">
        <v>13459</v>
      </c>
      <c r="H212" s="216">
        <v>0</v>
      </c>
      <c r="I212" s="217" t="s">
        <v>2293</v>
      </c>
      <c r="J212" s="217" t="s">
        <v>2294</v>
      </c>
      <c r="K212" s="268"/>
      <c r="L212" s="268"/>
      <c r="M212" s="268"/>
      <c r="N212" s="268"/>
      <c r="O212" s="268"/>
      <c r="P212" s="218"/>
      <c r="Q212" s="269"/>
      <c r="R212" s="215" t="str">
        <f ca="1">IF(ISERROR($V212),"",OFFSET('Smelter Look-up'!$C$4,$V212-4,0)&amp;"")</f>
        <v>Philippine Chuangxin Industrial Co., Inc.</v>
      </c>
      <c r="S212" s="222" t="str">
        <f t="shared" ca="1" si="30"/>
        <v>PH</v>
      </c>
      <c r="T212" s="222" t="str">
        <f ca="1">IF(B212="","",IF(ISERROR(MATCH($J212,SorP!$B$1:$B$6230,0)),"",INDIRECT("'SorP'!$A$"&amp;MATCH($J212,SorP!$B$1:$B$6230,0))))</f>
        <v>PH-BUL</v>
      </c>
      <c r="U212" s="238"/>
      <c r="V212" s="270">
        <f>IF(C212="",NA(),MATCH($B212&amp;$C212,'Smelter Look-up'!$J:$J,0))</f>
        <v>595</v>
      </c>
      <c r="W212" s="271"/>
      <c r="X212" s="271">
        <f t="shared" si="31"/>
        <v>0</v>
      </c>
      <c r="Y212" s="271"/>
      <c r="Z212" s="271"/>
      <c r="AB212" s="273" t="str">
        <f t="shared" si="32"/>
        <v>TungstenPhilippine Chuangxin Industrial Co., Inc.</v>
      </c>
    </row>
    <row r="213" spans="1:28" s="272" customFormat="1" ht="123">
      <c r="A213" s="214" t="s">
        <v>2298</v>
      </c>
      <c r="B213" s="215" t="s">
        <v>1133</v>
      </c>
      <c r="C213" s="219" t="s">
        <v>2297</v>
      </c>
      <c r="D213" s="278"/>
      <c r="E213" s="215" t="s">
        <v>1100</v>
      </c>
      <c r="F213" s="215" t="s">
        <v>2298</v>
      </c>
      <c r="G213" s="215" t="s">
        <v>13459</v>
      </c>
      <c r="H213" s="216">
        <v>0</v>
      </c>
      <c r="I213" s="217" t="s">
        <v>1787</v>
      </c>
      <c r="J213" s="217" t="s">
        <v>13842</v>
      </c>
      <c r="K213" s="268"/>
      <c r="L213" s="268"/>
      <c r="M213" s="268"/>
      <c r="N213" s="268"/>
      <c r="O213" s="268"/>
      <c r="P213" s="218"/>
      <c r="Q213" s="269"/>
      <c r="R213" s="215" t="str">
        <f ca="1">IF(ISERROR($V213),"",OFFSET('Smelter Look-up'!$C$4,$V213-4,0)&amp;"")</f>
        <v>Xinfeng Huarui Tungsten &amp; Molybdenum New Material Co., Ltd.</v>
      </c>
      <c r="S213" s="222" t="str">
        <f t="shared" ca="1" si="30"/>
        <v>CN</v>
      </c>
      <c r="T213" s="222" t="str">
        <f ca="1">IF(B213="","",IF(ISERROR(MATCH($J213,SorP!$B$1:$B$6230,0)),"",INDIRECT("'SorP'!$A$"&amp;MATCH($J213,SorP!$B$1:$B$6230,0))))</f>
        <v>CN-JX</v>
      </c>
      <c r="U213" s="238"/>
      <c r="V213" s="270">
        <f>IF(C213="",NA(),MATCH($B213&amp;$C213,'Smelter Look-up'!$J:$J,0))</f>
        <v>606</v>
      </c>
      <c r="W213" s="271"/>
      <c r="X213" s="271">
        <f t="shared" si="31"/>
        <v>0</v>
      </c>
      <c r="Y213" s="271"/>
      <c r="Z213" s="271"/>
      <c r="AB213" s="273" t="str">
        <f t="shared" si="32"/>
        <v>TungstenXinfeng Huarui Tungsten &amp; Molybdenum New Material Co., Ltd.</v>
      </c>
    </row>
    <row r="214" spans="1:28" s="272" customFormat="1" ht="49.2">
      <c r="A214" s="214" t="s">
        <v>2286</v>
      </c>
      <c r="B214" s="215" t="s">
        <v>1133</v>
      </c>
      <c r="C214" s="219" t="s">
        <v>2285</v>
      </c>
      <c r="D214" s="278"/>
      <c r="E214" s="215" t="s">
        <v>1096</v>
      </c>
      <c r="F214" s="215" t="s">
        <v>2286</v>
      </c>
      <c r="G214" s="215" t="s">
        <v>13459</v>
      </c>
      <c r="H214" s="216">
        <v>0</v>
      </c>
      <c r="I214" s="217" t="s">
        <v>2287</v>
      </c>
      <c r="J214" s="217" t="s">
        <v>1683</v>
      </c>
      <c r="K214" s="268"/>
      <c r="L214" s="268"/>
      <c r="M214" s="268"/>
      <c r="N214" s="268"/>
      <c r="O214" s="268"/>
      <c r="P214" s="218"/>
      <c r="Q214" s="269"/>
      <c r="R214" s="215" t="str">
        <f ca="1">IF(ISERROR($V214),"",OFFSET('Smelter Look-up'!$C$4,$V214-4,0)&amp;"")</f>
        <v>ACL Metais Eireli</v>
      </c>
      <c r="S214" s="222" t="str">
        <f t="shared" ca="1" si="30"/>
        <v>BR</v>
      </c>
      <c r="T214" s="222" t="str">
        <f ca="1">IF(B214="","",IF(ISERROR(MATCH($J214,SorP!$B$1:$B$6230,0)),"",INDIRECT("'SorP'!$A$"&amp;MATCH($J214,SorP!$B$1:$B$6230,0))))</f>
        <v>BR-SP</v>
      </c>
      <c r="U214" s="238"/>
      <c r="V214" s="270">
        <f>IF(C214="",NA(),MATCH($B214&amp;$C214,'Smelter Look-up'!$J:$J,0))</f>
        <v>535</v>
      </c>
      <c r="W214" s="271"/>
      <c r="X214" s="271">
        <f t="shared" si="31"/>
        <v>0</v>
      </c>
      <c r="Y214" s="271"/>
      <c r="Z214" s="271"/>
      <c r="AB214" s="273" t="str">
        <f t="shared" si="32"/>
        <v>TungstenACL Metais Eireli</v>
      </c>
    </row>
    <row r="215" spans="1:28" s="272" customFormat="1" ht="86.1">
      <c r="A215" s="214" t="s">
        <v>14034</v>
      </c>
      <c r="B215" s="215" t="s">
        <v>1131</v>
      </c>
      <c r="C215" s="219" t="s">
        <v>14033</v>
      </c>
      <c r="D215" s="278"/>
      <c r="E215" s="215" t="s">
        <v>892</v>
      </c>
      <c r="F215" s="215" t="s">
        <v>14034</v>
      </c>
      <c r="G215" s="215" t="s">
        <v>13459</v>
      </c>
      <c r="H215" s="216">
        <v>0</v>
      </c>
      <c r="I215" s="217" t="s">
        <v>14060</v>
      </c>
      <c r="J215" s="217" t="s">
        <v>12344</v>
      </c>
      <c r="K215" s="268"/>
      <c r="L215" s="268"/>
      <c r="M215" s="268"/>
      <c r="N215" s="268"/>
      <c r="O215" s="268"/>
      <c r="P215" s="218"/>
      <c r="Q215" s="269"/>
      <c r="R215" s="215" t="str">
        <f ca="1">IF(ISERROR($V215),"",OFFSET('Smelter Look-up'!$C$4,$V215-4,0)&amp;"")</f>
        <v>Thai Nguyen Mining and Metallurgy Co., Ltd.</v>
      </c>
      <c r="S215" s="222" t="str">
        <f t="shared" ca="1" si="30"/>
        <v>VN</v>
      </c>
      <c r="T215" s="222" t="str">
        <f ca="1">IF(B215="","",IF(ISERROR(MATCH($J215,SorP!$B$1:$B$6230,0)),"",INDIRECT("'SorP'!$A$"&amp;MATCH($J215,SorP!$B$1:$B$6230,0))))</f>
        <v>VN-69</v>
      </c>
      <c r="U215" s="238"/>
      <c r="V215" s="270">
        <f>IF(C215="",NA(),MATCH($B215&amp;$C215,'Smelter Look-up'!$J:$J,0))</f>
        <v>501</v>
      </c>
      <c r="W215" s="271"/>
      <c r="X215" s="271">
        <f t="shared" si="31"/>
        <v>0</v>
      </c>
      <c r="Y215" s="271"/>
      <c r="Z215" s="271"/>
      <c r="AB215" s="273" t="str">
        <f t="shared" si="32"/>
        <v>TinThai Nguyen Mining and Metallurgy Co., Ltd.</v>
      </c>
    </row>
    <row r="216" spans="1:28" s="272" customFormat="1" ht="73.8">
      <c r="A216" s="214" t="s">
        <v>2289</v>
      </c>
      <c r="B216" s="215" t="s">
        <v>1132</v>
      </c>
      <c r="C216" s="219" t="s">
        <v>2288</v>
      </c>
      <c r="D216" s="278"/>
      <c r="E216" s="215" t="s">
        <v>1100</v>
      </c>
      <c r="F216" s="215" t="s">
        <v>2289</v>
      </c>
      <c r="G216" s="215" t="s">
        <v>13459</v>
      </c>
      <c r="H216" s="216">
        <v>0</v>
      </c>
      <c r="I216" s="217" t="s">
        <v>1751</v>
      </c>
      <c r="J216" s="217" t="s">
        <v>13842</v>
      </c>
      <c r="K216" s="268"/>
      <c r="L216" s="268"/>
      <c r="M216" s="268"/>
      <c r="N216" s="268"/>
      <c r="O216" s="268"/>
      <c r="P216" s="218"/>
      <c r="Q216" s="269"/>
      <c r="R216" s="215" t="str">
        <f ca="1">IF(ISERROR($V216),"",OFFSET('Smelter Look-up'!$C$4,$V216-4,0)&amp;"")</f>
        <v>Jiangxi Tuohong New Raw Material</v>
      </c>
      <c r="S216" s="222" t="str">
        <f t="shared" ca="1" si="30"/>
        <v>CN</v>
      </c>
      <c r="T216" s="222" t="str">
        <f ca="1">IF(B216="","",IF(ISERROR(MATCH($J216,SorP!$B$1:$B$6230,0)),"",INDIRECT("'SorP'!$A$"&amp;MATCH($J216,SorP!$B$1:$B$6230,0))))</f>
        <v>CN-JX</v>
      </c>
      <c r="U216" s="238"/>
      <c r="V216" s="270">
        <f>IF(C216="",NA(),MATCH($B216&amp;$C216,'Smelter Look-up'!$J:$J,0))</f>
        <v>334</v>
      </c>
      <c r="W216" s="271"/>
      <c r="X216" s="271">
        <f t="shared" si="31"/>
        <v>0</v>
      </c>
      <c r="Y216" s="271"/>
      <c r="Z216" s="271"/>
      <c r="AB216" s="273" t="str">
        <f t="shared" si="32"/>
        <v>TantalumJiangxi Tuohong New Raw Material</v>
      </c>
    </row>
    <row r="217" spans="1:28" s="272" customFormat="1" ht="49.2">
      <c r="A217" s="214" t="s">
        <v>2296</v>
      </c>
      <c r="B217" s="215" t="s">
        <v>1133</v>
      </c>
      <c r="C217" s="219" t="s">
        <v>2295</v>
      </c>
      <c r="D217" s="278"/>
      <c r="E217" s="215" t="s">
        <v>1111</v>
      </c>
      <c r="F217" s="215" t="s">
        <v>2296</v>
      </c>
      <c r="G217" s="215" t="s">
        <v>13459</v>
      </c>
      <c r="H217" s="216">
        <v>0</v>
      </c>
      <c r="I217" s="217" t="s">
        <v>13161</v>
      </c>
      <c r="J217" s="217" t="s">
        <v>13086</v>
      </c>
      <c r="K217" s="268"/>
      <c r="L217" s="268"/>
      <c r="M217" s="268"/>
      <c r="N217" s="268"/>
      <c r="O217" s="268"/>
      <c r="P217" s="218"/>
      <c r="Q217" s="269"/>
      <c r="R217" s="215" t="str">
        <f ca="1">IF(ISERROR($V217),"",OFFSET('Smelter Look-up'!$C$4,$V217-4,0)&amp;"")</f>
        <v>Woltech Korea Co., Ltd.</v>
      </c>
      <c r="S217" s="222" t="str">
        <f t="shared" ca="1" si="30"/>
        <v>KR</v>
      </c>
      <c r="T217" s="222" t="str">
        <f ca="1">IF(B217="","",IF(ISERROR(MATCH($J217,SorP!$B$1:$B$6230,0)),"",INDIRECT("'SorP'!$A$"&amp;MATCH($J217,SorP!$B$1:$B$6230,0))))</f>
        <v>KR-47</v>
      </c>
      <c r="U217" s="238"/>
      <c r="V217" s="270">
        <f>IF(C217="",NA(),MATCH($B217&amp;$C217,'Smelter Look-up'!$J:$J,0))</f>
        <v>602</v>
      </c>
      <c r="W217" s="271"/>
      <c r="X217" s="271">
        <f t="shared" si="31"/>
        <v>0</v>
      </c>
      <c r="Y217" s="271"/>
      <c r="Z217" s="271"/>
      <c r="AB217" s="273" t="str">
        <f t="shared" si="32"/>
        <v>TungstenWoltech Korea Co., Ltd.</v>
      </c>
    </row>
    <row r="218" spans="1:28" s="272" customFormat="1" ht="61.5">
      <c r="A218" s="214" t="s">
        <v>2302</v>
      </c>
      <c r="B218" s="215" t="s">
        <v>1131</v>
      </c>
      <c r="C218" s="219" t="s">
        <v>2301</v>
      </c>
      <c r="D218" s="278"/>
      <c r="E218" s="215" t="s">
        <v>1100</v>
      </c>
      <c r="F218" s="215" t="s">
        <v>2302</v>
      </c>
      <c r="G218" s="215" t="s">
        <v>13459</v>
      </c>
      <c r="H218" s="216">
        <v>0</v>
      </c>
      <c r="I218" s="217" t="s">
        <v>1787</v>
      </c>
      <c r="J218" s="217" t="s">
        <v>13842</v>
      </c>
      <c r="K218" s="268"/>
      <c r="L218" s="268"/>
      <c r="M218" s="268"/>
      <c r="N218" s="268"/>
      <c r="O218" s="268"/>
      <c r="P218" s="218"/>
      <c r="Q218" s="269"/>
      <c r="R218" s="215" t="str">
        <f ca="1">IF(ISERROR($V218),"",OFFSET('Smelter Look-up'!$C$4,$V218-4,0)&amp;"")</f>
        <v>HuiChang Hill Tin Industry Co., Ltd.</v>
      </c>
      <c r="S218" s="222" t="str">
        <f t="shared" ca="1" si="30"/>
        <v>CN</v>
      </c>
      <c r="T218" s="222" t="str">
        <f ca="1">IF(B218="","",IF(ISERROR(MATCH($J218,SorP!$B$1:$B$6230,0)),"",INDIRECT("'SorP'!$A$"&amp;MATCH($J218,SorP!$B$1:$B$6230,0))))</f>
        <v>CN-JX</v>
      </c>
      <c r="U218" s="238"/>
      <c r="V218" s="270">
        <f>IF(C218="",NA(),MATCH($B218&amp;$C218,'Smelter Look-up'!$J:$J,0))</f>
        <v>437</v>
      </c>
      <c r="W218" s="271"/>
      <c r="X218" s="271">
        <f t="shared" si="31"/>
        <v>0</v>
      </c>
      <c r="Y218" s="271"/>
      <c r="Z218" s="271"/>
      <c r="AB218" s="273" t="str">
        <f t="shared" si="32"/>
        <v>TinHuiChang Hill Tin Industry Co., Ltd.</v>
      </c>
    </row>
    <row r="219" spans="1:28" s="272" customFormat="1" ht="36.9">
      <c r="A219" s="214" t="s">
        <v>2290</v>
      </c>
      <c r="B219" s="215" t="s">
        <v>1133</v>
      </c>
      <c r="C219" s="219" t="s">
        <v>2573</v>
      </c>
      <c r="D219" s="278"/>
      <c r="E219" s="215" t="s">
        <v>883</v>
      </c>
      <c r="F219" s="215" t="s">
        <v>2290</v>
      </c>
      <c r="G219" s="215" t="s">
        <v>13459</v>
      </c>
      <c r="H219" s="216">
        <v>0</v>
      </c>
      <c r="I219" s="217" t="s">
        <v>2291</v>
      </c>
      <c r="J219" s="217" t="s">
        <v>10169</v>
      </c>
      <c r="K219" s="268"/>
      <c r="L219" s="268"/>
      <c r="M219" s="268"/>
      <c r="N219" s="268"/>
      <c r="O219" s="268"/>
      <c r="P219" s="218"/>
      <c r="Q219" s="269"/>
      <c r="R219" s="215" t="str">
        <f ca="1">IF(ISERROR($V219),"",OFFSET('Smelter Look-up'!$C$4,$V219-4,0)&amp;"")</f>
        <v>Moliren Ltd.</v>
      </c>
      <c r="S219" s="222" t="str">
        <f t="shared" ca="1" si="30"/>
        <v>RU</v>
      </c>
      <c r="T219" s="222" t="str">
        <f ca="1">IF(B219="","",IF(ISERROR(MATCH($J219,SorP!$B$1:$B$6230,0)),"",INDIRECT("'SorP'!$A$"&amp;MATCH($J219,SorP!$B$1:$B$6230,0))))</f>
        <v>RU-MOS</v>
      </c>
      <c r="U219" s="238"/>
      <c r="V219" s="270">
        <f>IF(C219="",NA(),MATCH($B219&amp;$C219,'Smelter Look-up'!$J:$J,0))</f>
        <v>589</v>
      </c>
      <c r="W219" s="271"/>
      <c r="X219" s="271">
        <f t="shared" si="31"/>
        <v>0</v>
      </c>
      <c r="Y219" s="271"/>
      <c r="Z219" s="271"/>
      <c r="AB219" s="273" t="str">
        <f t="shared" si="32"/>
        <v>TungstenMoliren Ltd.</v>
      </c>
    </row>
    <row r="220" spans="1:28" s="272" customFormat="1" ht="49.2">
      <c r="A220" s="214" t="s">
        <v>2362</v>
      </c>
      <c r="B220" s="215" t="s">
        <v>1132</v>
      </c>
      <c r="C220" s="219" t="s">
        <v>2390</v>
      </c>
      <c r="D220" s="278"/>
      <c r="E220" s="215" t="s">
        <v>15633</v>
      </c>
      <c r="F220" s="215" t="s">
        <v>2362</v>
      </c>
      <c r="G220" s="215" t="s">
        <v>13459</v>
      </c>
      <c r="H220" s="216">
        <v>0</v>
      </c>
      <c r="I220" s="217" t="s">
        <v>2379</v>
      </c>
      <c r="J220" s="217" t="s">
        <v>2379</v>
      </c>
      <c r="K220" s="268"/>
      <c r="L220" s="268"/>
      <c r="M220" s="268"/>
      <c r="N220" s="268"/>
      <c r="O220" s="268"/>
      <c r="P220" s="218"/>
      <c r="Q220" s="269"/>
      <c r="R220" s="215" t="str">
        <f ca="1">IF(ISERROR($V220),"",OFFSET('Smelter Look-up'!$C$4,$V220-4,0)&amp;"")</f>
        <v>Meta Materials</v>
      </c>
      <c r="S220" s="222" t="str">
        <f t="shared" ca="1" si="30"/>
        <v>Unknown</v>
      </c>
      <c r="T220" s="222" t="str">
        <f ca="1">IF(B220="","",IF(ISERROR(MATCH($J220,SorP!$B$1:$B$6230,0)),"",INDIRECT("'SorP'!$A$"&amp;MATCH($J220,SorP!$B$1:$B$6230,0))))</f>
        <v>MK-85</v>
      </c>
      <c r="U220" s="238"/>
      <c r="V220" s="270">
        <f>IF(C220="",NA(),MATCH($B220&amp;$C220,'Smelter Look-up'!$J:$J,0))</f>
        <v>355</v>
      </c>
      <c r="W220" s="271"/>
      <c r="X220" s="271">
        <f t="shared" si="31"/>
        <v>0</v>
      </c>
      <c r="Y220" s="271"/>
      <c r="Z220" s="271"/>
      <c r="AB220" s="273" t="str">
        <f t="shared" si="32"/>
        <v>TantalumPower Resources Ltd.</v>
      </c>
    </row>
    <row r="221" spans="1:28" s="272" customFormat="1" ht="86.1">
      <c r="A221" s="214" t="s">
        <v>15634</v>
      </c>
      <c r="B221" s="215" t="s">
        <v>1131</v>
      </c>
      <c r="C221" s="219" t="s">
        <v>15635</v>
      </c>
      <c r="D221" s="278"/>
      <c r="E221" s="215" t="s">
        <v>1100</v>
      </c>
      <c r="F221" s="215" t="s">
        <v>15634</v>
      </c>
      <c r="G221" s="215" t="s">
        <v>13459</v>
      </c>
      <c r="H221" s="216">
        <v>0</v>
      </c>
      <c r="I221" s="217" t="s">
        <v>15636</v>
      </c>
      <c r="J221" s="217" t="s">
        <v>13826</v>
      </c>
      <c r="K221" s="268"/>
      <c r="L221" s="268"/>
      <c r="M221" s="268"/>
      <c r="N221" s="268"/>
      <c r="O221" s="268"/>
      <c r="P221" s="218"/>
      <c r="Q221" s="269"/>
      <c r="R221" s="215" t="str">
        <f ca="1">IF(ISERROR($V221),"",OFFSET('Smelter Look-up'!$C$4,$V221-4,0)&amp;"")</f>
        <v/>
      </c>
      <c r="S221" s="222" t="str">
        <f t="shared" ca="1" si="30"/>
        <v>CN</v>
      </c>
      <c r="T221" s="222" t="str">
        <f ca="1">IF(B221="","",IF(ISERROR(MATCH($J221,SorP!$B$1:$B$6230,0)),"",INDIRECT("'SorP'!$A$"&amp;MATCH($J221,SorP!$B$1:$B$6230,0))))</f>
        <v>CN-GX</v>
      </c>
      <c r="U221" s="238"/>
      <c r="V221" s="270" t="e">
        <f>IF(C221="",NA(),MATCH($B221&amp;$C221,'Smelter Look-up'!$J:$J,0))</f>
        <v>#N/A</v>
      </c>
      <c r="W221" s="271"/>
      <c r="X221" s="271">
        <f t="shared" si="31"/>
        <v>0</v>
      </c>
      <c r="Y221" s="271"/>
      <c r="Z221" s="271"/>
      <c r="AB221" s="273" t="str">
        <f t="shared" si="32"/>
        <v>TinGuanyang Guida Nonferrous Metal Smelting Plant</v>
      </c>
    </row>
    <row r="222" spans="1:28" s="272" customFormat="1" ht="49.2">
      <c r="A222" s="214" t="s">
        <v>2483</v>
      </c>
      <c r="B222" s="215" t="s">
        <v>1130</v>
      </c>
      <c r="C222" s="219" t="s">
        <v>13142</v>
      </c>
      <c r="D222" s="278"/>
      <c r="E222" s="215" t="s">
        <v>1111</v>
      </c>
      <c r="F222" s="215" t="s">
        <v>2483</v>
      </c>
      <c r="G222" s="215" t="s">
        <v>13459</v>
      </c>
      <c r="H222" s="216">
        <v>0</v>
      </c>
      <c r="I222" s="217" t="s">
        <v>13158</v>
      </c>
      <c r="J222" s="217" t="s">
        <v>13088</v>
      </c>
      <c r="K222" s="268"/>
      <c r="L222" s="268"/>
      <c r="M222" s="268"/>
      <c r="N222" s="268"/>
      <c r="O222" s="268"/>
      <c r="P222" s="218"/>
      <c r="Q222" s="269"/>
      <c r="R222" s="215" t="str">
        <f ca="1">IF(ISERROR($V222),"",OFFSET('Smelter Look-up'!$C$4,$V222-4,0)&amp;"")</f>
        <v>SungEel HiMetal Co., Ltd.</v>
      </c>
      <c r="S222" s="222" t="str">
        <f t="shared" ca="1" si="30"/>
        <v>KR</v>
      </c>
      <c r="T222" s="222" t="str">
        <f ca="1">IF(B222="","",IF(ISERROR(MATCH($J222,SorP!$B$1:$B$6230,0)),"",INDIRECT("'SorP'!$A$"&amp;MATCH($J222,SorP!$B$1:$B$6230,0))))</f>
        <v>KR-45</v>
      </c>
      <c r="U222" s="238"/>
      <c r="V222" s="270">
        <f>IF(C222="",NA(),MATCH($B222&amp;$C222,'Smelter Look-up'!$J:$J,0))</f>
        <v>260</v>
      </c>
      <c r="W222" s="271"/>
      <c r="X222" s="271">
        <f t="shared" si="31"/>
        <v>0</v>
      </c>
      <c r="Y222" s="271"/>
      <c r="Z222" s="271"/>
      <c r="AB222" s="273" t="str">
        <f t="shared" si="32"/>
        <v>GoldSungEel HiMetal Co., Ltd.</v>
      </c>
    </row>
    <row r="223" spans="1:28" s="272" customFormat="1" ht="86.1">
      <c r="A223" s="214" t="s">
        <v>2563</v>
      </c>
      <c r="B223" s="215" t="s">
        <v>1131</v>
      </c>
      <c r="C223" s="219" t="s">
        <v>2562</v>
      </c>
      <c r="D223" s="278"/>
      <c r="E223" s="215" t="s">
        <v>1100</v>
      </c>
      <c r="F223" s="215" t="s">
        <v>2563</v>
      </c>
      <c r="G223" s="215" t="s">
        <v>13459</v>
      </c>
      <c r="H223" s="216">
        <v>0</v>
      </c>
      <c r="I223" s="217" t="s">
        <v>1839</v>
      </c>
      <c r="J223" s="217" t="s">
        <v>13847</v>
      </c>
      <c r="K223" s="268"/>
      <c r="L223" s="268"/>
      <c r="M223" s="268"/>
      <c r="N223" s="268"/>
      <c r="O223" s="268"/>
      <c r="P223" s="218"/>
      <c r="Q223" s="269"/>
      <c r="R223" s="215" t="str">
        <f ca="1">IF(ISERROR($V223),"",OFFSET('Smelter Look-up'!$C$4,$V223-4,0)&amp;"")</f>
        <v>Guangdong Hanhe Non-Ferrous Metal Co., Ltd.</v>
      </c>
      <c r="S223" s="222" t="str">
        <f t="shared" ca="1" si="30"/>
        <v>CN</v>
      </c>
      <c r="T223" s="222" t="str">
        <f ca="1">IF(B223="","",IF(ISERROR(MATCH($J223,SorP!$B$1:$B$6230,0)),"",INDIRECT("'SorP'!$A$"&amp;MATCH($J223,SorP!$B$1:$B$6230,0))))</f>
        <v>CN-GD</v>
      </c>
      <c r="U223" s="238"/>
      <c r="V223" s="270">
        <f>IF(C223="",NA(),MATCH($B223&amp;$C223,'Smelter Look-up'!$J:$J,0))</f>
        <v>434</v>
      </c>
      <c r="W223" s="271"/>
      <c r="X223" s="271">
        <f t="shared" si="31"/>
        <v>0</v>
      </c>
      <c r="Y223" s="271"/>
      <c r="Z223" s="271"/>
      <c r="AB223" s="273" t="str">
        <f t="shared" si="32"/>
        <v>TinGuangdong Hanhe Non-Ferrous Metal Co., Ltd.</v>
      </c>
    </row>
    <row r="224" spans="1:28" s="272" customFormat="1" ht="86.1">
      <c r="A224" s="214" t="s">
        <v>2572</v>
      </c>
      <c r="B224" s="215" t="s">
        <v>1133</v>
      </c>
      <c r="C224" s="219" t="s">
        <v>2571</v>
      </c>
      <c r="D224" s="278"/>
      <c r="E224" s="215" t="s">
        <v>1100</v>
      </c>
      <c r="F224" s="215" t="s">
        <v>2572</v>
      </c>
      <c r="G224" s="215" t="s">
        <v>13459</v>
      </c>
      <c r="H224" s="216">
        <v>0</v>
      </c>
      <c r="I224" s="217" t="s">
        <v>2576</v>
      </c>
      <c r="J224" s="217" t="s">
        <v>13846</v>
      </c>
      <c r="K224" s="268"/>
      <c r="L224" s="268"/>
      <c r="M224" s="268"/>
      <c r="N224" s="268"/>
      <c r="O224" s="268"/>
      <c r="P224" s="218"/>
      <c r="Q224" s="269"/>
      <c r="R224" s="215" t="str">
        <f ca="1">IF(ISERROR($V224),"",OFFSET('Smelter Look-up'!$C$4,$V224-4,0)&amp;"")</f>
        <v>Hunan Litian Tungsten Industry Co., Ltd.</v>
      </c>
      <c r="S224" s="222" t="str">
        <f t="shared" ca="1" si="30"/>
        <v>CN</v>
      </c>
      <c r="T224" s="222" t="str">
        <f ca="1">IF(B224="","",IF(ISERROR(MATCH($J224,SorP!$B$1:$B$6230,0)),"",INDIRECT("'SorP'!$A$"&amp;MATCH($J224,SorP!$B$1:$B$6230,0))))</f>
        <v>CN-HN</v>
      </c>
      <c r="U224" s="238"/>
      <c r="V224" s="270">
        <f>IF(C224="",NA(),MATCH($B224&amp;$C224,'Smelter Look-up'!$J:$J,0))</f>
        <v>570</v>
      </c>
      <c r="W224" s="271"/>
      <c r="X224" s="271">
        <f t="shared" si="31"/>
        <v>0</v>
      </c>
      <c r="Y224" s="271"/>
      <c r="Z224" s="271"/>
      <c r="AB224" s="273" t="str">
        <f t="shared" si="32"/>
        <v>TungstenHunan Litian Tungsten Industry Co., Ltd.</v>
      </c>
    </row>
    <row r="225" spans="1:28" s="272" customFormat="1" ht="73.8">
      <c r="A225" s="214" t="s">
        <v>13147</v>
      </c>
      <c r="B225" s="215" t="s">
        <v>1131</v>
      </c>
      <c r="C225" s="219" t="s">
        <v>13146</v>
      </c>
      <c r="D225" s="278"/>
      <c r="E225" s="215" t="s">
        <v>1100</v>
      </c>
      <c r="F225" s="215" t="s">
        <v>13147</v>
      </c>
      <c r="G225" s="215" t="s">
        <v>13459</v>
      </c>
      <c r="H225" s="216">
        <v>0</v>
      </c>
      <c r="I225" s="217" t="s">
        <v>13167</v>
      </c>
      <c r="J225" s="217" t="s">
        <v>13825</v>
      </c>
      <c r="K225" s="268"/>
      <c r="L225" s="268"/>
      <c r="M225" s="268"/>
      <c r="N225" s="268"/>
      <c r="O225" s="268"/>
      <c r="P225" s="218"/>
      <c r="Q225" s="269"/>
      <c r="R225" s="215" t="str">
        <f ca="1">IF(ISERROR($V225),"",OFFSET('Smelter Look-up'!$C$4,$V225-4,0)&amp;"")</f>
        <v>Chifeng Dajingzi Tin Industry Co., Ltd.</v>
      </c>
      <c r="S225" s="222" t="str">
        <f t="shared" ca="1" si="30"/>
        <v>CN</v>
      </c>
      <c r="T225" s="222" t="str">
        <f ca="1">IF(B225="","",IF(ISERROR(MATCH($J225,SorP!$B$1:$B$6230,0)),"",INDIRECT("'SorP'!$A$"&amp;MATCH($J225,SorP!$B$1:$B$6230,0))))</f>
        <v>CN-NM</v>
      </c>
      <c r="U225" s="238"/>
      <c r="V225" s="270">
        <f>IF(C225="",NA(),MATCH($B225&amp;$C225,'Smelter Look-up'!$J:$J,0))</f>
        <v>393</v>
      </c>
      <c r="W225" s="271"/>
      <c r="X225" s="271">
        <f t="shared" si="31"/>
        <v>0</v>
      </c>
      <c r="Y225" s="271"/>
      <c r="Z225" s="271"/>
      <c r="AB225" s="273" t="str">
        <f t="shared" si="32"/>
        <v>TinChifeng Dajingzi Tin Industry Co., Ltd.</v>
      </c>
    </row>
    <row r="226" spans="1:28" s="272" customFormat="1" ht="49.2">
      <c r="A226" s="214" t="s">
        <v>13135</v>
      </c>
      <c r="B226" s="215" t="s">
        <v>1130</v>
      </c>
      <c r="C226" s="219" t="s">
        <v>13134</v>
      </c>
      <c r="D226" s="278"/>
      <c r="E226" s="215" t="s">
        <v>1111</v>
      </c>
      <c r="F226" s="215" t="s">
        <v>13135</v>
      </c>
      <c r="G226" s="215" t="s">
        <v>13459</v>
      </c>
      <c r="H226" s="216">
        <v>0</v>
      </c>
      <c r="I226" s="217" t="s">
        <v>13156</v>
      </c>
      <c r="J226" s="217" t="s">
        <v>13082</v>
      </c>
      <c r="K226" s="268"/>
      <c r="L226" s="268"/>
      <c r="M226" s="268"/>
      <c r="N226" s="268"/>
      <c r="O226" s="268"/>
      <c r="P226" s="218"/>
      <c r="Q226" s="269"/>
      <c r="R226" s="215" t="str">
        <f ca="1">IF(ISERROR($V226),"",OFFSET('Smelter Look-up'!$C$4,$V226-4,0)&amp;"")</f>
        <v>TSK Pretech</v>
      </c>
      <c r="S226" s="222" t="str">
        <f t="shared" ca="1" si="30"/>
        <v>KR</v>
      </c>
      <c r="T226" s="222" t="str">
        <f ca="1">IF(B226="","",IF(ISERROR(MATCH($J226,SorP!$B$1:$B$6230,0)),"",INDIRECT("'SorP'!$A$"&amp;MATCH($J226,SorP!$B$1:$B$6230,0))))</f>
        <v>KR-43</v>
      </c>
      <c r="U226" s="238"/>
      <c r="V226" s="270">
        <f>IF(C226="",NA(),MATCH($B226&amp;$C226,'Smelter Look-up'!$J:$J,0))</f>
        <v>68</v>
      </c>
      <c r="W226" s="271"/>
      <c r="X226" s="271">
        <f t="shared" si="31"/>
        <v>0</v>
      </c>
      <c r="Y226" s="271"/>
      <c r="Z226" s="271"/>
      <c r="AB226" s="273" t="str">
        <f t="shared" si="32"/>
        <v>GoldDS PRETECH Co., Ltd.</v>
      </c>
    </row>
    <row r="227" spans="1:28" s="272" customFormat="1" ht="49.2">
      <c r="A227" s="214" t="s">
        <v>14272</v>
      </c>
      <c r="B227" s="215" t="s">
        <v>1131</v>
      </c>
      <c r="C227" s="219" t="s">
        <v>13153</v>
      </c>
      <c r="D227" s="278"/>
      <c r="E227" s="215" t="s">
        <v>1105</v>
      </c>
      <c r="F227" s="215" t="s">
        <v>14272</v>
      </c>
      <c r="G227" s="215" t="s">
        <v>13459</v>
      </c>
      <c r="H227" s="216">
        <v>0</v>
      </c>
      <c r="I227" s="217" t="s">
        <v>15442</v>
      </c>
      <c r="J227" s="217" t="s">
        <v>13066</v>
      </c>
      <c r="K227" s="268"/>
      <c r="L227" s="268"/>
      <c r="M227" s="268"/>
      <c r="N227" s="268"/>
      <c r="O227" s="268"/>
      <c r="P227" s="218"/>
      <c r="Q227" s="269"/>
      <c r="R227" s="215" t="str">
        <f ca="1">IF(ISERROR($V227),"",OFFSET('Smelter Look-up'!$C$4,$V227-4,0)&amp;"")</f>
        <v>PT Bangka Serumpun</v>
      </c>
      <c r="S227" s="222" t="str">
        <f t="shared" ca="1" si="30"/>
        <v>ID</v>
      </c>
      <c r="T227" s="222" t="str">
        <f ca="1">IF(B227="","",IF(ISERROR(MATCH($J227,SorP!$B$1:$B$6230,0)),"",INDIRECT("'SorP'!$A$"&amp;MATCH($J227,SorP!$B$1:$B$6230,0))))</f>
        <v>ID-BB</v>
      </c>
      <c r="U227" s="238"/>
      <c r="V227" s="270">
        <f>IF(C227="",NA(),MATCH($B227&amp;$C227,'Smelter Look-up'!$J:$J,0))</f>
        <v>479</v>
      </c>
      <c r="W227" s="271"/>
      <c r="X227" s="271">
        <f t="shared" si="31"/>
        <v>0</v>
      </c>
      <c r="Y227" s="271"/>
      <c r="Z227" s="271"/>
      <c r="AB227" s="273" t="str">
        <f t="shared" si="32"/>
        <v>TinPT Bangka Serumpun</v>
      </c>
    </row>
    <row r="228" spans="1:28" s="272" customFormat="1" ht="49.2">
      <c r="A228" s="214" t="s">
        <v>13403</v>
      </c>
      <c r="B228" s="215" t="s">
        <v>1131</v>
      </c>
      <c r="C228" s="219" t="s">
        <v>13402</v>
      </c>
      <c r="D228" s="278"/>
      <c r="E228" s="215" t="s">
        <v>2463</v>
      </c>
      <c r="F228" s="215" t="s">
        <v>13403</v>
      </c>
      <c r="G228" s="215" t="s">
        <v>13459</v>
      </c>
      <c r="H228" s="216">
        <v>0</v>
      </c>
      <c r="I228" s="217" t="s">
        <v>13404</v>
      </c>
      <c r="J228" s="217" t="s">
        <v>1749</v>
      </c>
      <c r="K228" s="268"/>
      <c r="L228" s="268"/>
      <c r="M228" s="268"/>
      <c r="N228" s="268"/>
      <c r="O228" s="268"/>
      <c r="P228" s="218"/>
      <c r="Q228" s="269"/>
      <c r="R228" s="215" t="str">
        <f ca="1">IF(ISERROR($V228),"",OFFSET('Smelter Look-up'!$C$4,$V228-4,0)&amp;"")</f>
        <v>Tin Technology &amp; Refining</v>
      </c>
      <c r="S228" s="222" t="str">
        <f t="shared" ca="1" si="30"/>
        <v>US</v>
      </c>
      <c r="T228" s="222" t="str">
        <f ca="1">IF(B228="","",IF(ISERROR(MATCH($J228,SorP!$B$1:$B$6230,0)),"",INDIRECT("'SorP'!$A$"&amp;MATCH($J228,SorP!$B$1:$B$6230,0))))</f>
        <v>US-PA</v>
      </c>
      <c r="U228" s="238"/>
      <c r="V228" s="270">
        <f>IF(C228="",NA(),MATCH($B228&amp;$C228,'Smelter Look-up'!$J:$J,0))</f>
        <v>507</v>
      </c>
      <c r="W228" s="271"/>
      <c r="X228" s="271">
        <f t="shared" si="31"/>
        <v>0</v>
      </c>
      <c r="Y228" s="271"/>
      <c r="Z228" s="271"/>
      <c r="AB228" s="273" t="str">
        <f t="shared" si="32"/>
        <v>TinTin Technology &amp; Refining</v>
      </c>
    </row>
    <row r="229" spans="1:28" s="272" customFormat="1" ht="36.9">
      <c r="A229" s="214" t="s">
        <v>14048</v>
      </c>
      <c r="B229" s="215" t="s">
        <v>1133</v>
      </c>
      <c r="C229" s="219" t="s">
        <v>14047</v>
      </c>
      <c r="D229" s="278"/>
      <c r="E229" s="215" t="s">
        <v>1111</v>
      </c>
      <c r="F229" s="215" t="s">
        <v>14048</v>
      </c>
      <c r="G229" s="215" t="s">
        <v>13459</v>
      </c>
      <c r="H229" s="216">
        <v>0</v>
      </c>
      <c r="I229" s="217" t="s">
        <v>14062</v>
      </c>
      <c r="J229" s="217" t="s">
        <v>13085</v>
      </c>
      <c r="K229" s="268"/>
      <c r="L229" s="268"/>
      <c r="M229" s="268"/>
      <c r="N229" s="268"/>
      <c r="O229" s="268"/>
      <c r="P229" s="218"/>
      <c r="Q229" s="269"/>
      <c r="R229" s="215" t="str">
        <f ca="1">IF(ISERROR($V229),"",OFFSET('Smelter Look-up'!$C$4,$V229-4,0)&amp;"")</f>
        <v>KGETS Co., Ltd.</v>
      </c>
      <c r="S229" s="222" t="str">
        <f t="shared" ca="1" si="30"/>
        <v>KR</v>
      </c>
      <c r="T229" s="222" t="str">
        <f ca="1">IF(B229="","",IF(ISERROR(MATCH($J229,SorP!$B$1:$B$6230,0)),"",INDIRECT("'SorP'!$A$"&amp;MATCH($J229,SorP!$B$1:$B$6230,0))))</f>
        <v>KR-41</v>
      </c>
      <c r="U229" s="238"/>
      <c r="V229" s="270">
        <f>IF(C229="",NA(),MATCH($B229&amp;$C229,'Smelter Look-up'!$J:$J,0))</f>
        <v>584</v>
      </c>
      <c r="W229" s="271"/>
      <c r="X229" s="271">
        <f t="shared" si="31"/>
        <v>0</v>
      </c>
      <c r="Y229" s="271"/>
      <c r="Z229" s="271"/>
      <c r="AB229" s="273" t="str">
        <f t="shared" si="32"/>
        <v>TungstenKGETS Co., Ltd.</v>
      </c>
    </row>
    <row r="230" spans="1:28" s="272" customFormat="1" ht="86.1">
      <c r="A230" s="214" t="s">
        <v>14036</v>
      </c>
      <c r="B230" s="215" t="s">
        <v>1131</v>
      </c>
      <c r="C230" s="219" t="s">
        <v>14035</v>
      </c>
      <c r="D230" s="278"/>
      <c r="E230" s="215" t="s">
        <v>1100</v>
      </c>
      <c r="F230" s="215" t="s">
        <v>14036</v>
      </c>
      <c r="G230" s="215" t="s">
        <v>13459</v>
      </c>
      <c r="H230" s="216">
        <v>0</v>
      </c>
      <c r="I230" s="217" t="s">
        <v>2477</v>
      </c>
      <c r="J230" s="217" t="s">
        <v>13851</v>
      </c>
      <c r="K230" s="268"/>
      <c r="L230" s="268"/>
      <c r="M230" s="268"/>
      <c r="N230" s="268"/>
      <c r="O230" s="268"/>
      <c r="P230" s="218"/>
      <c r="Q230" s="269"/>
      <c r="R230" s="215" t="str">
        <f ca="1">IF(ISERROR($V230),"",OFFSET('Smelter Look-up'!$C$4,$V230-4,0)&amp;"")</f>
        <v>Yunnan Yunfan Non-ferrous Metals Co., Ltd.</v>
      </c>
      <c r="S230" s="222" t="str">
        <f t="shared" ref="S230:S260" ca="1" si="33">IF(B230="","",IF(ISERROR(MATCH($E230,CL,0)),"Unknown",INDIRECT("'C'!$A$"&amp;MATCH($E230,CL,0)+1)))</f>
        <v>CN</v>
      </c>
      <c r="T230" s="222" t="str">
        <f ca="1">IF(B230="","",IF(ISERROR(MATCH($J230,SorP!$B$1:$B$6230,0)),"",INDIRECT("'SorP'!$A$"&amp;MATCH($J230,SorP!$B$1:$B$6230,0))))</f>
        <v>CN-YN</v>
      </c>
      <c r="U230" s="238"/>
      <c r="V230" s="270">
        <f>IF(C230="",NA(),MATCH($B230&amp;$C230,'Smelter Look-up'!$J:$J,0))</f>
        <v>528</v>
      </c>
      <c r="W230" s="271"/>
      <c r="X230" s="271">
        <f t="shared" ref="X230:X260" si="34">IF(AND(C230="Smelter not listed",OR(LEN(D230)=0,LEN(E230)=0)),1,0)</f>
        <v>0</v>
      </c>
      <c r="Y230" s="271"/>
      <c r="Z230" s="271"/>
      <c r="AB230" s="273" t="str">
        <f t="shared" ref="AB230:AB260" si="35">B230&amp;C230</f>
        <v>TinYunnan Yunfan Non-ferrous Metals Co., Ltd.</v>
      </c>
    </row>
    <row r="231" spans="1:28" s="272" customFormat="1" ht="49.2">
      <c r="A231" s="214" t="s">
        <v>15637</v>
      </c>
      <c r="B231" s="215" t="s">
        <v>1132</v>
      </c>
      <c r="C231" s="219" t="s">
        <v>15638</v>
      </c>
      <c r="D231" s="278"/>
      <c r="E231" s="215" t="s">
        <v>2463</v>
      </c>
      <c r="F231" s="215" t="s">
        <v>15637</v>
      </c>
      <c r="G231" s="215" t="s">
        <v>13459</v>
      </c>
      <c r="H231" s="216">
        <v>0</v>
      </c>
      <c r="I231" s="217" t="s">
        <v>15639</v>
      </c>
      <c r="J231" s="217" t="s">
        <v>1642</v>
      </c>
      <c r="K231" s="268"/>
      <c r="L231" s="268"/>
      <c r="M231" s="268"/>
      <c r="N231" s="268"/>
      <c r="O231" s="268"/>
      <c r="P231" s="218"/>
      <c r="Q231" s="269"/>
      <c r="R231" s="215" t="str">
        <f ca="1">IF(ISERROR($V231),"",OFFSET('Smelter Look-up'!$C$4,$V231-4,0)&amp;"")</f>
        <v/>
      </c>
      <c r="S231" s="222" t="str">
        <f t="shared" ca="1" si="33"/>
        <v>US</v>
      </c>
      <c r="T231" s="222" t="str">
        <f ca="1">IF(B231="","",IF(ISERROR(MATCH($J231,SorP!$B$1:$B$6230,0)),"",INDIRECT("'SorP'!$A$"&amp;MATCH($J231,SorP!$B$1:$B$6230,0))))</f>
        <v>US-OH</v>
      </c>
      <c r="U231" s="238"/>
      <c r="V231" s="270" t="e">
        <f>IF(C231="",NA(),MATCH($B231&amp;$C231,'Smelter Look-up'!$J:$J,0))</f>
        <v>#N/A</v>
      </c>
      <c r="W231" s="271"/>
      <c r="X231" s="271">
        <f t="shared" si="34"/>
        <v>0</v>
      </c>
      <c r="Y231" s="271"/>
      <c r="Z231" s="271"/>
      <c r="AB231" s="273" t="str">
        <f t="shared" si="35"/>
        <v>TantalumCP Metals Inc.</v>
      </c>
    </row>
    <row r="232" spans="1:28" s="272" customFormat="1" ht="49.2">
      <c r="A232" s="214" t="s">
        <v>14050</v>
      </c>
      <c r="B232" s="215" t="s">
        <v>1133</v>
      </c>
      <c r="C232" s="219" t="s">
        <v>14049</v>
      </c>
      <c r="D232" s="278"/>
      <c r="E232" s="215" t="s">
        <v>2462</v>
      </c>
      <c r="F232" s="215" t="s">
        <v>14050</v>
      </c>
      <c r="G232" s="215" t="s">
        <v>13459</v>
      </c>
      <c r="H232" s="216">
        <v>0</v>
      </c>
      <c r="I232" s="217" t="s">
        <v>14063</v>
      </c>
      <c r="J232" s="217" t="s">
        <v>11694</v>
      </c>
      <c r="K232" s="268"/>
      <c r="L232" s="268"/>
      <c r="M232" s="268"/>
      <c r="N232" s="268"/>
      <c r="O232" s="268"/>
      <c r="P232" s="218"/>
      <c r="Q232" s="269"/>
      <c r="R232" s="215" t="str">
        <f ca="1">IF(ISERROR($V232),"",OFFSET('Smelter Look-up'!$C$4,$V232-4,0)&amp;"")</f>
        <v>Lianyou Metals Co., Ltd.</v>
      </c>
      <c r="S232" s="222" t="str">
        <f t="shared" ca="1" si="33"/>
        <v>TW</v>
      </c>
      <c r="T232" s="222" t="str">
        <f ca="1">IF(B232="","",IF(ISERROR(MATCH($J232,SorP!$B$1:$B$6230,0)),"",INDIRECT("'SorP'!$A$"&amp;MATCH($J232,SorP!$B$1:$B$6230,0))))</f>
        <v>TW-PIF</v>
      </c>
      <c r="U232" s="238"/>
      <c r="V232" s="270">
        <f>IF(C232="",NA(),MATCH($B232&amp;$C232,'Smelter Look-up'!$J:$J,0))</f>
        <v>585</v>
      </c>
      <c r="W232" s="271"/>
      <c r="X232" s="271">
        <f t="shared" si="34"/>
        <v>0</v>
      </c>
      <c r="Y232" s="271"/>
      <c r="Z232" s="271"/>
      <c r="AB232" s="273" t="str">
        <f t="shared" si="35"/>
        <v>TungstenLianyou Metals Co., Ltd.</v>
      </c>
    </row>
    <row r="233" spans="1:28" s="272" customFormat="1" ht="73.8">
      <c r="A233" s="214" t="s">
        <v>14046</v>
      </c>
      <c r="B233" s="215" t="s">
        <v>1133</v>
      </c>
      <c r="C233" s="219" t="s">
        <v>14045</v>
      </c>
      <c r="D233" s="278"/>
      <c r="E233" s="215" t="s">
        <v>883</v>
      </c>
      <c r="F233" s="215" t="s">
        <v>14046</v>
      </c>
      <c r="G233" s="215" t="s">
        <v>13459</v>
      </c>
      <c r="H233" s="216">
        <v>0</v>
      </c>
      <c r="I233" s="217" t="s">
        <v>14061</v>
      </c>
      <c r="J233" s="217" t="s">
        <v>10153</v>
      </c>
      <c r="K233" s="268"/>
      <c r="L233" s="268"/>
      <c r="M233" s="268"/>
      <c r="N233" s="268"/>
      <c r="O233" s="268"/>
      <c r="P233" s="218"/>
      <c r="Q233" s="269"/>
      <c r="R233" s="215" t="str">
        <f ca="1">IF(ISERROR($V233),"",OFFSET('Smelter Look-up'!$C$4,$V233-4,0)&amp;"")</f>
        <v>JSC "Kirovgrad Hard Alloys Plant"</v>
      </c>
      <c r="S233" s="222" t="str">
        <f t="shared" ca="1" si="33"/>
        <v>RU</v>
      </c>
      <c r="T233" s="222" t="str">
        <f ca="1">IF(B233="","",IF(ISERROR(MATCH($J233,SorP!$B$1:$B$6230,0)),"",INDIRECT("'SorP'!$A$"&amp;MATCH($J233,SorP!$B$1:$B$6230,0))))</f>
        <v>RU-SVE</v>
      </c>
      <c r="U233" s="238"/>
      <c r="V233" s="270">
        <f>IF(C233="",NA(),MATCH($B233&amp;$C233,'Smelter Look-up'!$J:$J,0))</f>
        <v>581</v>
      </c>
      <c r="W233" s="271"/>
      <c r="X233" s="271">
        <f t="shared" si="34"/>
        <v>0</v>
      </c>
      <c r="Y233" s="271"/>
      <c r="Z233" s="271"/>
      <c r="AB233" s="273" t="str">
        <f t="shared" si="35"/>
        <v>TungstenJSC "Kirovgrad Hard Alloys Plant"</v>
      </c>
    </row>
    <row r="234" spans="1:28" s="272" customFormat="1" ht="36.9">
      <c r="A234" s="214" t="s">
        <v>792</v>
      </c>
      <c r="B234" s="215" t="s">
        <v>1133</v>
      </c>
      <c r="C234" s="219" t="s">
        <v>14037</v>
      </c>
      <c r="D234" s="278"/>
      <c r="E234" s="215" t="s">
        <v>1108</v>
      </c>
      <c r="F234" s="215" t="s">
        <v>792</v>
      </c>
      <c r="G234" s="215" t="s">
        <v>13459</v>
      </c>
      <c r="H234" s="216">
        <v>0</v>
      </c>
      <c r="I234" s="217" t="s">
        <v>2148</v>
      </c>
      <c r="J234" s="217" t="s">
        <v>2149</v>
      </c>
      <c r="K234" s="268"/>
      <c r="L234" s="268"/>
      <c r="M234" s="268"/>
      <c r="N234" s="268"/>
      <c r="O234" s="268"/>
      <c r="P234" s="218"/>
      <c r="Q234" s="269"/>
      <c r="R234" s="215" t="str">
        <f ca="1">IF(ISERROR($V234),"",OFFSET('Smelter Look-up'!$C$4,$V234-4,0)&amp;"")</f>
        <v>A.L.M.T. Corp.</v>
      </c>
      <c r="S234" s="222" t="str">
        <f t="shared" ca="1" si="33"/>
        <v>JP</v>
      </c>
      <c r="T234" s="222" t="str">
        <f ca="1">IF(B234="","",IF(ISERROR(MATCH($J234,SorP!$B$1:$B$6230,0)),"",INDIRECT("'SorP'!$A$"&amp;MATCH($J234,SorP!$B$1:$B$6230,0))))</f>
        <v>JP-16</v>
      </c>
      <c r="U234" s="238"/>
      <c r="V234" s="270">
        <f>IF(C234="",NA(),MATCH($B234&amp;$C234,'Smelter Look-up'!$J:$J,0))</f>
        <v>533</v>
      </c>
      <c r="W234" s="271"/>
      <c r="X234" s="271">
        <f t="shared" si="34"/>
        <v>0</v>
      </c>
      <c r="Y234" s="271"/>
      <c r="Z234" s="271"/>
      <c r="AB234" s="273" t="str">
        <f t="shared" si="35"/>
        <v>TungstenA.L.M.T. Corp.</v>
      </c>
    </row>
    <row r="235" spans="1:28" s="272" customFormat="1" ht="61.5">
      <c r="A235" s="214" t="s">
        <v>793</v>
      </c>
      <c r="B235" s="215" t="s">
        <v>1133</v>
      </c>
      <c r="C235" s="219" t="s">
        <v>148</v>
      </c>
      <c r="D235" s="278"/>
      <c r="E235" s="215" t="s">
        <v>2463</v>
      </c>
      <c r="F235" s="215" t="s">
        <v>793</v>
      </c>
      <c r="G235" s="215" t="s">
        <v>13459</v>
      </c>
      <c r="H235" s="216">
        <v>0</v>
      </c>
      <c r="I235" s="217" t="s">
        <v>1837</v>
      </c>
      <c r="J235" s="217" t="s">
        <v>1838</v>
      </c>
      <c r="K235" s="268"/>
      <c r="L235" s="268"/>
      <c r="M235" s="268"/>
      <c r="N235" s="268"/>
      <c r="O235" s="268"/>
      <c r="P235" s="218"/>
      <c r="Q235" s="269"/>
      <c r="R235" s="215" t="str">
        <f ca="1">IF(ISERROR($V235),"",OFFSET('Smelter Look-up'!$C$4,$V235-4,0)&amp;"")</f>
        <v>Kennametal Huntsville</v>
      </c>
      <c r="S235" s="222" t="str">
        <f t="shared" ca="1" si="33"/>
        <v>US</v>
      </c>
      <c r="T235" s="222" t="str">
        <f ca="1">IF(B235="","",IF(ISERROR(MATCH($J235,SorP!$B$1:$B$6230,0)),"",INDIRECT("'SorP'!$A$"&amp;MATCH($J235,SorP!$B$1:$B$6230,0))))</f>
        <v>US-AL</v>
      </c>
      <c r="U235" s="238"/>
      <c r="V235" s="270">
        <f>IF(C235="",NA(),MATCH($B235&amp;$C235,'Smelter Look-up'!$J:$J,0))</f>
        <v>583</v>
      </c>
      <c r="W235" s="271"/>
      <c r="X235" s="271">
        <f t="shared" si="34"/>
        <v>0</v>
      </c>
      <c r="Y235" s="271"/>
      <c r="Z235" s="271"/>
      <c r="AB235" s="273" t="str">
        <f t="shared" si="35"/>
        <v>TungstenKennametal Huntsville</v>
      </c>
    </row>
    <row r="236" spans="1:28" s="272" customFormat="1" ht="86.1">
      <c r="A236" s="214" t="s">
        <v>794</v>
      </c>
      <c r="B236" s="215" t="s">
        <v>1133</v>
      </c>
      <c r="C236" s="219" t="s">
        <v>1380</v>
      </c>
      <c r="D236" s="278"/>
      <c r="E236" s="215" t="s">
        <v>1100</v>
      </c>
      <c r="F236" s="215" t="s">
        <v>794</v>
      </c>
      <c r="G236" s="215" t="s">
        <v>13459</v>
      </c>
      <c r="H236" s="216">
        <v>0</v>
      </c>
      <c r="I236" s="217" t="s">
        <v>1839</v>
      </c>
      <c r="J236" s="217" t="s">
        <v>13847</v>
      </c>
      <c r="K236" s="268"/>
      <c r="L236" s="268"/>
      <c r="M236" s="268"/>
      <c r="N236" s="268"/>
      <c r="O236" s="268"/>
      <c r="P236" s="218"/>
      <c r="Q236" s="269"/>
      <c r="R236" s="215" t="str">
        <f ca="1">IF(ISERROR($V236),"",OFFSET('Smelter Look-up'!$C$4,$V236-4,0)&amp;"")</f>
        <v>Guangdong Xianglu Tungsten Co., Ltd.</v>
      </c>
      <c r="S236" s="222" t="str">
        <f t="shared" ca="1" si="33"/>
        <v>CN</v>
      </c>
      <c r="T236" s="222" t="str">
        <f ca="1">IF(B236="","",IF(ISERROR(MATCH($J236,SorP!$B$1:$B$6230,0)),"",INDIRECT("'SorP'!$A$"&amp;MATCH($J236,SorP!$B$1:$B$6230,0))))</f>
        <v>CN-GD</v>
      </c>
      <c r="U236" s="238"/>
      <c r="V236" s="270">
        <f>IF(C236="",NA(),MATCH($B236&amp;$C236,'Smelter Look-up'!$J:$J,0))</f>
        <v>562</v>
      </c>
      <c r="W236" s="271"/>
      <c r="X236" s="271">
        <f t="shared" si="34"/>
        <v>0</v>
      </c>
      <c r="Y236" s="271"/>
      <c r="Z236" s="271"/>
      <c r="AB236" s="273" t="str">
        <f t="shared" si="35"/>
        <v>TungstenGuangdong Xianglu Tungsten Co., Ltd.</v>
      </c>
    </row>
    <row r="237" spans="1:28" s="272" customFormat="1" ht="98.4">
      <c r="A237" s="214" t="s">
        <v>795</v>
      </c>
      <c r="B237" s="215" t="s">
        <v>1133</v>
      </c>
      <c r="C237" s="219" t="s">
        <v>1379</v>
      </c>
      <c r="D237" s="278"/>
      <c r="E237" s="215" t="s">
        <v>1100</v>
      </c>
      <c r="F237" s="215" t="s">
        <v>795</v>
      </c>
      <c r="G237" s="215" t="s">
        <v>13459</v>
      </c>
      <c r="H237" s="216">
        <v>0</v>
      </c>
      <c r="I237" s="217" t="s">
        <v>1787</v>
      </c>
      <c r="J237" s="217" t="s">
        <v>13842</v>
      </c>
      <c r="K237" s="268"/>
      <c r="L237" s="268"/>
      <c r="M237" s="268"/>
      <c r="N237" s="268"/>
      <c r="O237" s="268"/>
      <c r="P237" s="218"/>
      <c r="Q237" s="269"/>
      <c r="R237" s="215" t="str">
        <f ca="1">IF(ISERROR($V237),"",OFFSET('Smelter Look-up'!$C$4,$V237-4,0)&amp;"")</f>
        <v>Chongyi Zhangyuan Tungsten Co., Ltd.</v>
      </c>
      <c r="S237" s="222" t="str">
        <f t="shared" ca="1" si="33"/>
        <v>CN</v>
      </c>
      <c r="T237" s="222" t="str">
        <f ca="1">IF(B237="","",IF(ISERROR(MATCH($J237,SorP!$B$1:$B$6230,0)),"",INDIRECT("'SorP'!$A$"&amp;MATCH($J237,SorP!$B$1:$B$6230,0))))</f>
        <v>CN-JX</v>
      </c>
      <c r="U237" s="238"/>
      <c r="V237" s="270">
        <f>IF(C237="",NA(),MATCH($B237&amp;$C237,'Smelter Look-up'!$J:$J,0))</f>
        <v>550</v>
      </c>
      <c r="W237" s="271"/>
      <c r="X237" s="271">
        <f t="shared" si="34"/>
        <v>0</v>
      </c>
      <c r="Y237" s="271"/>
      <c r="Z237" s="271"/>
      <c r="AB237" s="273" t="str">
        <f t="shared" si="35"/>
        <v>TungstenChongyi Zhangyuan Tungsten Co., Ltd.</v>
      </c>
    </row>
    <row r="238" spans="1:28" s="272" customFormat="1" ht="36.9">
      <c r="A238" s="214" t="s">
        <v>767</v>
      </c>
      <c r="B238" s="215" t="s">
        <v>1131</v>
      </c>
      <c r="C238" s="219" t="s">
        <v>842</v>
      </c>
      <c r="D238" s="278"/>
      <c r="E238" s="215" t="s">
        <v>2461</v>
      </c>
      <c r="F238" s="215" t="s">
        <v>767</v>
      </c>
      <c r="G238" s="215" t="s">
        <v>13459</v>
      </c>
      <c r="H238" s="216">
        <v>0</v>
      </c>
      <c r="I238" s="217" t="s">
        <v>1782</v>
      </c>
      <c r="J238" s="217" t="s">
        <v>1782</v>
      </c>
      <c r="K238" s="268"/>
      <c r="L238" s="268"/>
      <c r="M238" s="268"/>
      <c r="N238" s="268"/>
      <c r="O238" s="268"/>
      <c r="P238" s="218"/>
      <c r="Q238" s="269"/>
      <c r="R238" s="215" t="str">
        <f ca="1">IF(ISERROR($V238),"",OFFSET('Smelter Look-up'!$C$4,$V238-4,0)&amp;"")</f>
        <v>EM Vinto</v>
      </c>
      <c r="S238" s="222" t="str">
        <f t="shared" ca="1" si="33"/>
        <v>BO</v>
      </c>
      <c r="T238" s="222" t="str">
        <f ca="1">IF(B238="","",IF(ISERROR(MATCH($J238,SorP!$B$1:$B$6230,0)),"",INDIRECT("'SorP'!$A$"&amp;MATCH($J238,SorP!$B$1:$B$6230,0))))</f>
        <v>BO-O</v>
      </c>
      <c r="U238" s="238"/>
      <c r="V238" s="270">
        <f>IF(C238="",NA(),MATCH($B238&amp;$C238,'Smelter Look-up'!$J:$J,0))</f>
        <v>412</v>
      </c>
      <c r="W238" s="271"/>
      <c r="X238" s="271">
        <f t="shared" si="34"/>
        <v>0</v>
      </c>
      <c r="Y238" s="271"/>
      <c r="Z238" s="271"/>
      <c r="AB238" s="273" t="str">
        <f t="shared" si="35"/>
        <v>TinEM Vinto</v>
      </c>
    </row>
    <row r="239" spans="1:28" s="272" customFormat="1" ht="36.9">
      <c r="A239" s="214" t="s">
        <v>748</v>
      </c>
      <c r="B239" s="215" t="s">
        <v>1132</v>
      </c>
      <c r="C239" s="219" t="s">
        <v>1118</v>
      </c>
      <c r="D239" s="278"/>
      <c r="E239" s="215" t="s">
        <v>2463</v>
      </c>
      <c r="F239" s="215" t="s">
        <v>748</v>
      </c>
      <c r="G239" s="215" t="s">
        <v>13459</v>
      </c>
      <c r="H239" s="216">
        <v>0</v>
      </c>
      <c r="I239" s="217" t="s">
        <v>1727</v>
      </c>
      <c r="J239" s="217" t="s">
        <v>1706</v>
      </c>
      <c r="K239" s="268"/>
      <c r="L239" s="268"/>
      <c r="M239" s="268"/>
      <c r="N239" s="268"/>
      <c r="O239" s="268"/>
      <c r="P239" s="218"/>
      <c r="Q239" s="269"/>
      <c r="R239" s="215" t="str">
        <f ca="1">IF(ISERROR($V239),"",OFFSET('Smelter Look-up'!$C$4,$V239-4,0)&amp;"")</f>
        <v>Exotech Inc.</v>
      </c>
      <c r="S239" s="222" t="str">
        <f t="shared" ca="1" si="33"/>
        <v>US</v>
      </c>
      <c r="T239" s="222" t="str">
        <f ca="1">IF(B239="","",IF(ISERROR(MATCH($J239,SorP!$B$1:$B$6230,0)),"",INDIRECT("'SorP'!$A$"&amp;MATCH($J239,SorP!$B$1:$B$6230,0))))</f>
        <v>US-FL</v>
      </c>
      <c r="U239" s="238"/>
      <c r="V239" s="270">
        <f>IF(C239="",NA(),MATCH($B239&amp;$C239,'Smelter Look-up'!$J:$J,0))</f>
        <v>319</v>
      </c>
      <c r="W239" s="271"/>
      <c r="X239" s="271">
        <f t="shared" si="34"/>
        <v>0</v>
      </c>
      <c r="Y239" s="271"/>
      <c r="Z239" s="271"/>
      <c r="AB239" s="273" t="str">
        <f t="shared" si="35"/>
        <v>TantalumExotech Inc.</v>
      </c>
    </row>
    <row r="240" spans="1:28" s="272" customFormat="1" ht="61.5">
      <c r="A240" s="214" t="s">
        <v>749</v>
      </c>
      <c r="B240" s="215" t="s">
        <v>1132</v>
      </c>
      <c r="C240" s="219" t="s">
        <v>45</v>
      </c>
      <c r="D240" s="278"/>
      <c r="E240" s="215" t="s">
        <v>1100</v>
      </c>
      <c r="F240" s="215" t="s">
        <v>749</v>
      </c>
      <c r="G240" s="215" t="s">
        <v>13459</v>
      </c>
      <c r="H240" s="216">
        <v>0</v>
      </c>
      <c r="I240" s="217" t="s">
        <v>1728</v>
      </c>
      <c r="J240" s="217" t="s">
        <v>13847</v>
      </c>
      <c r="K240" s="268"/>
      <c r="L240" s="268"/>
      <c r="M240" s="268"/>
      <c r="N240" s="268"/>
      <c r="O240" s="268"/>
      <c r="P240" s="218"/>
      <c r="Q240" s="269"/>
      <c r="R240" s="215" t="str">
        <f ca="1">IF(ISERROR($V240),"",OFFSET('Smelter Look-up'!$C$4,$V240-4,0)&amp;"")</f>
        <v>F&amp;X Electro-Materials Ltd.</v>
      </c>
      <c r="S240" s="222" t="str">
        <f t="shared" ca="1" si="33"/>
        <v>CN</v>
      </c>
      <c r="T240" s="222" t="str">
        <f ca="1">IF(B240="","",IF(ISERROR(MATCH($J240,SorP!$B$1:$B$6230,0)),"",INDIRECT("'SorP'!$A$"&amp;MATCH($J240,SorP!$B$1:$B$6230,0))))</f>
        <v>CN-GD</v>
      </c>
      <c r="U240" s="238"/>
      <c r="V240" s="270">
        <f>IF(C240="",NA(),MATCH($B240&amp;$C240,'Smelter Look-up'!$J:$J,0))</f>
        <v>321</v>
      </c>
      <c r="W240" s="271"/>
      <c r="X240" s="271">
        <f t="shared" si="34"/>
        <v>0</v>
      </c>
      <c r="Y240" s="271"/>
      <c r="Z240" s="271"/>
      <c r="AB240" s="273" t="str">
        <f t="shared" si="35"/>
        <v>TantalumF&amp;X Electro-Materials Ltd.</v>
      </c>
    </row>
    <row r="241" spans="1:28" s="272" customFormat="1" ht="73.8">
      <c r="A241" s="214" t="s">
        <v>796</v>
      </c>
      <c r="B241" s="215" t="s">
        <v>1133</v>
      </c>
      <c r="C241" s="219" t="s">
        <v>1</v>
      </c>
      <c r="D241" s="278"/>
      <c r="E241" s="215" t="s">
        <v>2463</v>
      </c>
      <c r="F241" s="215" t="s">
        <v>796</v>
      </c>
      <c r="G241" s="215" t="s">
        <v>13459</v>
      </c>
      <c r="H241" s="216">
        <v>0</v>
      </c>
      <c r="I241" s="217" t="s">
        <v>1841</v>
      </c>
      <c r="J241" s="217" t="s">
        <v>1749</v>
      </c>
      <c r="K241" s="268"/>
      <c r="L241" s="268"/>
      <c r="M241" s="268"/>
      <c r="N241" s="268"/>
      <c r="O241" s="268"/>
      <c r="P241" s="218"/>
      <c r="Q241" s="269"/>
      <c r="R241" s="215" t="str">
        <f ca="1">IF(ISERROR($V241),"",OFFSET('Smelter Look-up'!$C$4,$V241-4,0)&amp;"")</f>
        <v>Global Tungsten &amp; Powders Corp.</v>
      </c>
      <c r="S241" s="222" t="str">
        <f t="shared" ca="1" si="33"/>
        <v>US</v>
      </c>
      <c r="T241" s="222" t="str">
        <f ca="1">IF(B241="","",IF(ISERROR(MATCH($J241,SorP!$B$1:$B$6230,0)),"",INDIRECT("'SorP'!$A$"&amp;MATCH($J241,SorP!$B$1:$B$6230,0))))</f>
        <v>US-PA</v>
      </c>
      <c r="U241" s="238"/>
      <c r="V241" s="270">
        <f>IF(C241="",NA(),MATCH($B241&amp;$C241,'Smelter Look-up'!$J:$J,0))</f>
        <v>560</v>
      </c>
      <c r="W241" s="271"/>
      <c r="X241" s="271">
        <f t="shared" si="34"/>
        <v>0</v>
      </c>
      <c r="Y241" s="271"/>
      <c r="Z241" s="271"/>
      <c r="AB241" s="273" t="str">
        <f t="shared" si="35"/>
        <v>TungstenGlobal Tungsten &amp; Powders Corp.</v>
      </c>
    </row>
    <row r="242" spans="1:28" s="272" customFormat="1" ht="86.1">
      <c r="A242" s="214" t="s">
        <v>751</v>
      </c>
      <c r="B242" s="215" t="s">
        <v>1132</v>
      </c>
      <c r="C242" s="219" t="s">
        <v>750</v>
      </c>
      <c r="D242" s="278"/>
      <c r="E242" s="215" t="s">
        <v>1100</v>
      </c>
      <c r="F242" s="215" t="s">
        <v>751</v>
      </c>
      <c r="G242" s="215" t="s">
        <v>13459</v>
      </c>
      <c r="H242" s="216">
        <v>0</v>
      </c>
      <c r="I242" s="217" t="s">
        <v>1730</v>
      </c>
      <c r="J242" s="217" t="s">
        <v>13847</v>
      </c>
      <c r="K242" s="268"/>
      <c r="L242" s="268"/>
      <c r="M242" s="268"/>
      <c r="N242" s="268"/>
      <c r="O242" s="268"/>
      <c r="P242" s="218"/>
      <c r="Q242" s="269"/>
      <c r="R242" s="215" t="str">
        <f ca="1">IF(ISERROR($V242),"",OFFSET('Smelter Look-up'!$C$4,$V242-4,0)&amp;"")</f>
        <v>XIMEI RESOURCES (GUANGDONG) LIMITED</v>
      </c>
      <c r="S242" s="222" t="str">
        <f t="shared" ca="1" si="33"/>
        <v>CN</v>
      </c>
      <c r="T242" s="222" t="str">
        <f ca="1">IF(B242="","",IF(ISERROR(MATCH($J242,SorP!$B$1:$B$6230,0)),"",INDIRECT("'SorP'!$A$"&amp;MATCH($J242,SorP!$B$1:$B$6230,0))))</f>
        <v>CN-GD</v>
      </c>
      <c r="U242" s="238"/>
      <c r="V242" s="270">
        <f>IF(C242="",NA(),MATCH($B242&amp;$C242,'Smelter Look-up'!$J:$J,0))</f>
        <v>325</v>
      </c>
      <c r="W242" s="271"/>
      <c r="X242" s="271">
        <f t="shared" si="34"/>
        <v>0</v>
      </c>
      <c r="Y242" s="271"/>
      <c r="Z242" s="271"/>
      <c r="AB242" s="273" t="str">
        <f t="shared" si="35"/>
        <v>TantalumGuangdong Zhiyuan New Material Co., Ltd.</v>
      </c>
    </row>
    <row r="243" spans="1:28" s="272" customFormat="1" ht="61.5">
      <c r="A243" s="214" t="s">
        <v>797</v>
      </c>
      <c r="B243" s="215" t="s">
        <v>1133</v>
      </c>
      <c r="C243" s="219" t="s">
        <v>2232</v>
      </c>
      <c r="D243" s="278"/>
      <c r="E243" s="215" t="s">
        <v>1100</v>
      </c>
      <c r="F243" s="215" t="s">
        <v>797</v>
      </c>
      <c r="G243" s="215" t="s">
        <v>13459</v>
      </c>
      <c r="H243" s="216">
        <v>0</v>
      </c>
      <c r="I243" s="217" t="s">
        <v>2150</v>
      </c>
      <c r="J243" s="217" t="s">
        <v>13846</v>
      </c>
      <c r="K243" s="268"/>
      <c r="L243" s="268"/>
      <c r="M243" s="268"/>
      <c r="N243" s="268"/>
      <c r="O243" s="268"/>
      <c r="P243" s="218"/>
      <c r="Q243" s="269"/>
      <c r="R243" s="215" t="str">
        <f ca="1">IF(ISERROR($V243),"",OFFSET('Smelter Look-up'!$C$4,$V243-4,0)&amp;"")</f>
        <v>Hunan Chenzhou Mining Co., Ltd.</v>
      </c>
      <c r="S243" s="222" t="str">
        <f t="shared" ca="1" si="33"/>
        <v>CN</v>
      </c>
      <c r="T243" s="222" t="str">
        <f ca="1">IF(B243="","",IF(ISERROR(MATCH($J243,SorP!$B$1:$B$6230,0)),"",INDIRECT("'SorP'!$A$"&amp;MATCH($J243,SorP!$B$1:$B$6230,0))))</f>
        <v>CN-HN</v>
      </c>
      <c r="U243" s="238"/>
      <c r="V243" s="270">
        <f>IF(C243="",NA(),MATCH($B243&amp;$C243,'Smelter Look-up'!$J:$J,0))</f>
        <v>567</v>
      </c>
      <c r="W243" s="271"/>
      <c r="X243" s="271">
        <f t="shared" si="34"/>
        <v>0</v>
      </c>
      <c r="Y243" s="271"/>
      <c r="Z243" s="271"/>
      <c r="AB243" s="273" t="str">
        <f t="shared" si="35"/>
        <v>TungstenHunan Chenzhou Mining Co., Ltd.</v>
      </c>
    </row>
    <row r="244" spans="1:28" s="272" customFormat="1" ht="98.4">
      <c r="A244" s="214" t="s">
        <v>800</v>
      </c>
      <c r="B244" s="215" t="s">
        <v>1133</v>
      </c>
      <c r="C244" s="219" t="s">
        <v>149</v>
      </c>
      <c r="D244" s="278"/>
      <c r="E244" s="215" t="s">
        <v>1100</v>
      </c>
      <c r="F244" s="215" t="s">
        <v>800</v>
      </c>
      <c r="G244" s="215" t="s">
        <v>13459</v>
      </c>
      <c r="H244" s="216">
        <v>0</v>
      </c>
      <c r="I244" s="217" t="s">
        <v>1787</v>
      </c>
      <c r="J244" s="217" t="s">
        <v>13842</v>
      </c>
      <c r="K244" s="268"/>
      <c r="L244" s="268"/>
      <c r="M244" s="268"/>
      <c r="N244" s="268"/>
      <c r="O244" s="268"/>
      <c r="P244" s="218"/>
      <c r="Q244" s="269"/>
      <c r="R244" s="215" t="str">
        <f ca="1">IF(ISERROR($V244),"",OFFSET('Smelter Look-up'!$C$4,$V244-4,0)&amp;"")</f>
        <v>Ganzhou Huaxing Tungsten Products Co., Ltd.</v>
      </c>
      <c r="S244" s="222" t="str">
        <f t="shared" ca="1" si="33"/>
        <v>CN</v>
      </c>
      <c r="T244" s="222" t="str">
        <f ca="1">IF(B244="","",IF(ISERROR(MATCH($J244,SorP!$B$1:$B$6230,0)),"",INDIRECT("'SorP'!$A$"&amp;MATCH($J244,SorP!$B$1:$B$6230,0))))</f>
        <v>CN-JX</v>
      </c>
      <c r="U244" s="238"/>
      <c r="V244" s="270">
        <f>IF(C244="",NA(),MATCH($B244&amp;$C244,'Smelter Look-up'!$J:$J,0))</f>
        <v>556</v>
      </c>
      <c r="W244" s="271"/>
      <c r="X244" s="271">
        <f t="shared" si="34"/>
        <v>0</v>
      </c>
      <c r="Y244" s="271"/>
      <c r="Z244" s="271"/>
      <c r="AB244" s="273" t="str">
        <f t="shared" si="35"/>
        <v>TungstenGanzhou Huaxing Tungsten Products Co., Ltd.</v>
      </c>
    </row>
    <row r="245" spans="1:28" s="272" customFormat="1" ht="86.1">
      <c r="A245" s="214" t="s">
        <v>752</v>
      </c>
      <c r="B245" s="215" t="s">
        <v>1132</v>
      </c>
      <c r="C245" s="219" t="s">
        <v>4</v>
      </c>
      <c r="D245" s="278"/>
      <c r="E245" s="215" t="s">
        <v>1100</v>
      </c>
      <c r="F245" s="215" t="s">
        <v>752</v>
      </c>
      <c r="G245" s="215" t="s">
        <v>13459</v>
      </c>
      <c r="H245" s="216">
        <v>0</v>
      </c>
      <c r="I245" s="217" t="s">
        <v>1731</v>
      </c>
      <c r="J245" s="217" t="s">
        <v>13842</v>
      </c>
      <c r="K245" s="268"/>
      <c r="L245" s="268"/>
      <c r="M245" s="268"/>
      <c r="N245" s="268"/>
      <c r="O245" s="268"/>
      <c r="P245" s="218"/>
      <c r="Q245" s="269"/>
      <c r="R245" s="215" t="str">
        <f ca="1">IF(ISERROR($V245),"",OFFSET('Smelter Look-up'!$C$4,$V245-4,0)&amp;"")</f>
        <v>JiuJiang JinXin Nonferrous Metals Co., Ltd.</v>
      </c>
      <c r="S245" s="222" t="str">
        <f t="shared" ca="1" si="33"/>
        <v>CN</v>
      </c>
      <c r="T245" s="222" t="str">
        <f ca="1">IF(B245="","",IF(ISERROR(MATCH($J245,SorP!$B$1:$B$6230,0)),"",INDIRECT("'SorP'!$A$"&amp;MATCH($J245,SorP!$B$1:$B$6230,0))))</f>
        <v>CN-JX</v>
      </c>
      <c r="U245" s="238"/>
      <c r="V245" s="270">
        <f>IF(C245="",NA(),MATCH($B245&amp;$C245,'Smelter Look-up'!$J:$J,0))</f>
        <v>335</v>
      </c>
      <c r="W245" s="271"/>
      <c r="X245" s="271">
        <f t="shared" si="34"/>
        <v>0</v>
      </c>
      <c r="Y245" s="271"/>
      <c r="Z245" s="271"/>
      <c r="AB245" s="273" t="str">
        <f t="shared" si="35"/>
        <v>TantalumJiuJiang JinXin Nonferrous Metals Co., Ltd.</v>
      </c>
    </row>
    <row r="246" spans="1:28" s="272" customFormat="1" ht="49.2">
      <c r="A246" s="214" t="s">
        <v>801</v>
      </c>
      <c r="B246" s="215" t="s">
        <v>1133</v>
      </c>
      <c r="C246" s="219" t="s">
        <v>150</v>
      </c>
      <c r="D246" s="278"/>
      <c r="E246" s="215" t="s">
        <v>2463</v>
      </c>
      <c r="F246" s="215" t="s">
        <v>801</v>
      </c>
      <c r="G246" s="215" t="s">
        <v>13459</v>
      </c>
      <c r="H246" s="216">
        <v>0</v>
      </c>
      <c r="I246" s="217" t="s">
        <v>1844</v>
      </c>
      <c r="J246" s="217" t="s">
        <v>1769</v>
      </c>
      <c r="K246" s="268"/>
      <c r="L246" s="268"/>
      <c r="M246" s="268"/>
      <c r="N246" s="268"/>
      <c r="O246" s="268"/>
      <c r="P246" s="218"/>
      <c r="Q246" s="269"/>
      <c r="R246" s="215" t="str">
        <f ca="1">IF(ISERROR($V246),"",OFFSET('Smelter Look-up'!$C$4,$V246-4,0)&amp;"")</f>
        <v>Kennametal Fallon</v>
      </c>
      <c r="S246" s="222" t="str">
        <f t="shared" ca="1" si="33"/>
        <v>US</v>
      </c>
      <c r="T246" s="222" t="str">
        <f ca="1">IF(B246="","",IF(ISERROR(MATCH($J246,SorP!$B$1:$B$6230,0)),"",INDIRECT("'SorP'!$A$"&amp;MATCH($J246,SorP!$B$1:$B$6230,0))))</f>
        <v>US-NV</v>
      </c>
      <c r="U246" s="238"/>
      <c r="V246" s="270">
        <f>IF(C246="",NA(),MATCH($B246&amp;$C246,'Smelter Look-up'!$J:$J,0))</f>
        <v>582</v>
      </c>
      <c r="W246" s="271"/>
      <c r="X246" s="271">
        <f t="shared" si="34"/>
        <v>0</v>
      </c>
      <c r="Y246" s="271"/>
      <c r="Z246" s="271"/>
      <c r="AB246" s="273" t="str">
        <f t="shared" si="35"/>
        <v>TungstenKennametal Fallon</v>
      </c>
    </row>
    <row r="247" spans="1:28" s="272" customFormat="1" ht="73.8">
      <c r="A247" s="214" t="s">
        <v>774</v>
      </c>
      <c r="B247" s="215" t="s">
        <v>1131</v>
      </c>
      <c r="C247" s="219" t="s">
        <v>821</v>
      </c>
      <c r="D247" s="278"/>
      <c r="E247" s="215" t="s">
        <v>1115</v>
      </c>
      <c r="F247" s="215" t="s">
        <v>774</v>
      </c>
      <c r="G247" s="215" t="s">
        <v>13459</v>
      </c>
      <c r="H247" s="216">
        <v>0</v>
      </c>
      <c r="I247" s="217" t="s">
        <v>1794</v>
      </c>
      <c r="J247" s="217" t="s">
        <v>8868</v>
      </c>
      <c r="K247" s="268"/>
      <c r="L247" s="268"/>
      <c r="M247" s="268"/>
      <c r="N247" s="268"/>
      <c r="O247" s="268"/>
      <c r="P247" s="218"/>
      <c r="Q247" s="269"/>
      <c r="R247" s="215" t="str">
        <f ca="1">IF(ISERROR($V247),"",OFFSET('Smelter Look-up'!$C$4,$V247-4,0)&amp;"")</f>
        <v>Malaysia Smelting Corporation (MSC)</v>
      </c>
      <c r="S247" s="222" t="str">
        <f t="shared" ca="1" si="33"/>
        <v>MY</v>
      </c>
      <c r="T247" s="222" t="str">
        <f ca="1">IF(B247="","",IF(ISERROR(MATCH($J247,SorP!$B$1:$B$6230,0)),"",INDIRECT("'SorP'!$A$"&amp;MATCH($J247,SorP!$B$1:$B$6230,0))))</f>
        <v>MY-07</v>
      </c>
      <c r="U247" s="238"/>
      <c r="V247" s="270">
        <f>IF(C247="",NA(),MATCH($B247&amp;$C247,'Smelter Look-up'!$J:$J,0))</f>
        <v>449</v>
      </c>
      <c r="W247" s="271"/>
      <c r="X247" s="271">
        <f t="shared" si="34"/>
        <v>0</v>
      </c>
      <c r="Y247" s="271"/>
      <c r="Z247" s="271"/>
      <c r="AB247" s="273" t="str">
        <f t="shared" si="35"/>
        <v>TinMalaysia Smelting Corporation (MSC)</v>
      </c>
    </row>
    <row r="248" spans="1:28" s="272" customFormat="1" ht="24.6">
      <c r="A248" s="214" t="s">
        <v>776</v>
      </c>
      <c r="B248" s="215" t="s">
        <v>1131</v>
      </c>
      <c r="C248" s="219" t="s">
        <v>1034</v>
      </c>
      <c r="D248" s="278"/>
      <c r="E248" s="215" t="s">
        <v>880</v>
      </c>
      <c r="F248" s="215" t="s">
        <v>776</v>
      </c>
      <c r="G248" s="215" t="s">
        <v>13459</v>
      </c>
      <c r="H248" s="216">
        <v>0</v>
      </c>
      <c r="I248" s="217" t="s">
        <v>1799</v>
      </c>
      <c r="J248" s="217" t="s">
        <v>9323</v>
      </c>
      <c r="K248" s="268"/>
      <c r="L248" s="268"/>
      <c r="M248" s="268"/>
      <c r="N248" s="268"/>
      <c r="O248" s="268"/>
      <c r="P248" s="218"/>
      <c r="Q248" s="269"/>
      <c r="R248" s="215" t="str">
        <f ca="1">IF(ISERROR($V248),"",OFFSET('Smelter Look-up'!$C$4,$V248-4,0)&amp;"")</f>
        <v>Minsur</v>
      </c>
      <c r="S248" s="222" t="str">
        <f t="shared" ca="1" si="33"/>
        <v>PE</v>
      </c>
      <c r="T248" s="222" t="str">
        <f ca="1">IF(B248="","",IF(ISERROR(MATCH($J248,SorP!$B$1:$B$6230,0)),"",INDIRECT("'SorP'!$A$"&amp;MATCH($J248,SorP!$B$1:$B$6230,0))))</f>
        <v>PE-ICA</v>
      </c>
      <c r="U248" s="238"/>
      <c r="V248" s="270">
        <f>IF(C248="",NA(),MATCH($B248&amp;$C248,'Smelter Look-up'!$J:$J,0))</f>
        <v>460</v>
      </c>
      <c r="W248" s="271"/>
      <c r="X248" s="271">
        <f t="shared" si="34"/>
        <v>0</v>
      </c>
      <c r="Y248" s="271"/>
      <c r="Z248" s="271"/>
      <c r="AB248" s="273" t="str">
        <f t="shared" si="35"/>
        <v>TinMinsur</v>
      </c>
    </row>
    <row r="249" spans="1:28" s="272" customFormat="1" ht="49.2">
      <c r="A249" s="214" t="s">
        <v>758</v>
      </c>
      <c r="B249" s="215" t="s">
        <v>1132</v>
      </c>
      <c r="C249" s="219" t="s">
        <v>2560</v>
      </c>
      <c r="D249" s="278"/>
      <c r="E249" s="215" t="s">
        <v>1103</v>
      </c>
      <c r="F249" s="215" t="s">
        <v>758</v>
      </c>
      <c r="G249" s="215" t="s">
        <v>13459</v>
      </c>
      <c r="H249" s="216">
        <v>0</v>
      </c>
      <c r="I249" s="217" t="s">
        <v>1740</v>
      </c>
      <c r="J249" s="217" t="s">
        <v>1741</v>
      </c>
      <c r="K249" s="268"/>
      <c r="L249" s="268"/>
      <c r="M249" s="268"/>
      <c r="N249" s="268"/>
      <c r="O249" s="268"/>
      <c r="P249" s="218"/>
      <c r="Q249" s="269"/>
      <c r="R249" s="215" t="str">
        <f ca="1">IF(ISERROR($V249),"",OFFSET('Smelter Look-up'!$C$4,$V249-4,0)&amp;"")</f>
        <v>NPM Silmet AS</v>
      </c>
      <c r="S249" s="222" t="str">
        <f t="shared" ca="1" si="33"/>
        <v>EE</v>
      </c>
      <c r="T249" s="222" t="str">
        <f ca="1">IF(B249="","",IF(ISERROR(MATCH($J249,SorP!$B$1:$B$6230,0)),"",INDIRECT("'SorP'!$A$"&amp;MATCH($J249,SorP!$B$1:$B$6230,0))))</f>
        <v>EE-44</v>
      </c>
      <c r="U249" s="238"/>
      <c r="V249" s="270">
        <f>IF(C249="",NA(),MATCH($B249&amp;$C249,'Smelter Look-up'!$J:$J,0))</f>
        <v>353</v>
      </c>
      <c r="W249" s="271"/>
      <c r="X249" s="271">
        <f t="shared" si="34"/>
        <v>0</v>
      </c>
      <c r="Y249" s="271"/>
      <c r="Z249" s="271"/>
      <c r="AB249" s="273" t="str">
        <f t="shared" si="35"/>
        <v>TantalumNPM Silmet AS</v>
      </c>
    </row>
    <row r="250" spans="1:28" s="272" customFormat="1" ht="49.2">
      <c r="A250" s="214" t="s">
        <v>780</v>
      </c>
      <c r="B250" s="215" t="s">
        <v>1131</v>
      </c>
      <c r="C250" s="219" t="s">
        <v>14029</v>
      </c>
      <c r="D250" s="278"/>
      <c r="E250" s="215" t="s">
        <v>2461</v>
      </c>
      <c r="F250" s="215" t="s">
        <v>780</v>
      </c>
      <c r="G250" s="215" t="s">
        <v>13459</v>
      </c>
      <c r="H250" s="216">
        <v>0</v>
      </c>
      <c r="I250" s="217" t="s">
        <v>1782</v>
      </c>
      <c r="J250" s="217" t="s">
        <v>1782</v>
      </c>
      <c r="K250" s="268"/>
      <c r="L250" s="268"/>
      <c r="M250" s="268"/>
      <c r="N250" s="268"/>
      <c r="O250" s="268"/>
      <c r="P250" s="218"/>
      <c r="Q250" s="269"/>
      <c r="R250" s="215" t="str">
        <f ca="1">IF(ISERROR($V250),"",OFFSET('Smelter Look-up'!$C$4,$V250-4,0)&amp;"")</f>
        <v>Operaciones Metalurgicas S.A.</v>
      </c>
      <c r="S250" s="222" t="str">
        <f t="shared" ca="1" si="33"/>
        <v>BO</v>
      </c>
      <c r="T250" s="222" t="str">
        <f ca="1">IF(B250="","",IF(ISERROR(MATCH($J250,SorP!$B$1:$B$6230,0)),"",INDIRECT("'SorP'!$A$"&amp;MATCH($J250,SorP!$B$1:$B$6230,0))))</f>
        <v>BO-O</v>
      </c>
      <c r="U250" s="238"/>
      <c r="V250" s="270">
        <f>IF(C250="",NA(),MATCH($B250&amp;$C250,'Smelter Look-up'!$J:$J,0))</f>
        <v>471</v>
      </c>
      <c r="W250" s="271"/>
      <c r="X250" s="271">
        <f t="shared" si="34"/>
        <v>0</v>
      </c>
      <c r="Y250" s="271"/>
      <c r="Z250" s="271"/>
      <c r="AB250" s="273" t="str">
        <f t="shared" si="35"/>
        <v>TinOperaciones Metalurgicas S.A.</v>
      </c>
    </row>
    <row r="251" spans="1:28" s="272" customFormat="1" ht="49.2">
      <c r="A251" s="214" t="s">
        <v>782</v>
      </c>
      <c r="B251" s="215" t="s">
        <v>1131</v>
      </c>
      <c r="C251" s="219" t="s">
        <v>627</v>
      </c>
      <c r="D251" s="278"/>
      <c r="E251" s="215" t="s">
        <v>1105</v>
      </c>
      <c r="F251" s="215" t="s">
        <v>782</v>
      </c>
      <c r="G251" s="215" t="s">
        <v>13459</v>
      </c>
      <c r="H251" s="216">
        <v>0</v>
      </c>
      <c r="I251" s="217" t="s">
        <v>1780</v>
      </c>
      <c r="J251" s="217" t="s">
        <v>13066</v>
      </c>
      <c r="K251" s="268"/>
      <c r="L251" s="268"/>
      <c r="M251" s="268"/>
      <c r="N251" s="268"/>
      <c r="O251" s="268"/>
      <c r="P251" s="218"/>
      <c r="Q251" s="269"/>
      <c r="R251" s="215" t="str">
        <f ca="1">IF(ISERROR($V251),"",OFFSET('Smelter Look-up'!$C$4,$V251-4,0)&amp;"")</f>
        <v>PT Mitra Stania Prima</v>
      </c>
      <c r="S251" s="222" t="str">
        <f t="shared" ca="1" si="33"/>
        <v>ID</v>
      </c>
      <c r="T251" s="222" t="str">
        <f ca="1">IF(B251="","",IF(ISERROR(MATCH($J251,SorP!$B$1:$B$6230,0)),"",INDIRECT("'SorP'!$A$"&amp;MATCH($J251,SorP!$B$1:$B$6230,0))))</f>
        <v>ID-BB</v>
      </c>
      <c r="U251" s="238"/>
      <c r="V251" s="270">
        <f>IF(C251="",NA(),MATCH($B251&amp;$C251,'Smelter Look-up'!$J:$J,0))</f>
        <v>482</v>
      </c>
      <c r="W251" s="271"/>
      <c r="X251" s="271">
        <f t="shared" si="34"/>
        <v>0</v>
      </c>
      <c r="Y251" s="271"/>
      <c r="Z251" s="271"/>
      <c r="AB251" s="273" t="str">
        <f t="shared" si="35"/>
        <v>TinPT Mitra Stania Prima</v>
      </c>
    </row>
    <row r="252" spans="1:28" s="272" customFormat="1" ht="49.2">
      <c r="A252" s="214" t="s">
        <v>783</v>
      </c>
      <c r="B252" s="215" t="s">
        <v>1131</v>
      </c>
      <c r="C252" s="219" t="s">
        <v>2173</v>
      </c>
      <c r="D252" s="278"/>
      <c r="E252" s="215" t="s">
        <v>1105</v>
      </c>
      <c r="F252" s="215" t="s">
        <v>783</v>
      </c>
      <c r="G252" s="215" t="s">
        <v>13459</v>
      </c>
      <c r="H252" s="216">
        <v>0</v>
      </c>
      <c r="I252" s="217" t="s">
        <v>1780</v>
      </c>
      <c r="J252" s="217" t="s">
        <v>13066</v>
      </c>
      <c r="K252" s="268"/>
      <c r="L252" s="268"/>
      <c r="M252" s="268"/>
      <c r="N252" s="268"/>
      <c r="O252" s="268"/>
      <c r="P252" s="218"/>
      <c r="Q252" s="269"/>
      <c r="R252" s="215" t="str">
        <f ca="1">IF(ISERROR($V252),"",OFFSET('Smelter Look-up'!$C$4,$V252-4,0)&amp;"")</f>
        <v>PT Refined Bangka Tin</v>
      </c>
      <c r="S252" s="222" t="str">
        <f t="shared" ca="1" si="33"/>
        <v>ID</v>
      </c>
      <c r="T252" s="222" t="str">
        <f ca="1">IF(B252="","",IF(ISERROR(MATCH($J252,SorP!$B$1:$B$6230,0)),"",INDIRECT("'SorP'!$A$"&amp;MATCH($J252,SorP!$B$1:$B$6230,0))))</f>
        <v>ID-BB</v>
      </c>
      <c r="U252" s="238"/>
      <c r="V252" s="270">
        <f>IF(C252="",NA(),MATCH($B252&amp;$C252,'Smelter Look-up'!$J:$J,0))</f>
        <v>487</v>
      </c>
      <c r="W252" s="271"/>
      <c r="X252" s="271">
        <f t="shared" si="34"/>
        <v>0</v>
      </c>
      <c r="Y252" s="271"/>
      <c r="Z252" s="271"/>
      <c r="AB252" s="273" t="str">
        <f t="shared" si="35"/>
        <v>TinPT Refined Bangka Tin</v>
      </c>
    </row>
    <row r="253" spans="1:28" s="272" customFormat="1" ht="49.2">
      <c r="A253" s="214" t="s">
        <v>804</v>
      </c>
      <c r="B253" s="215" t="s">
        <v>1131</v>
      </c>
      <c r="C253" s="219" t="s">
        <v>14026</v>
      </c>
      <c r="D253" s="278"/>
      <c r="E253" s="215" t="s">
        <v>1105</v>
      </c>
      <c r="F253" s="215" t="s">
        <v>804</v>
      </c>
      <c r="G253" s="215" t="s">
        <v>13459</v>
      </c>
      <c r="H253" s="216">
        <v>0</v>
      </c>
      <c r="I253" s="217" t="s">
        <v>1806</v>
      </c>
      <c r="J253" s="217" t="s">
        <v>6135</v>
      </c>
      <c r="K253" s="268"/>
      <c r="L253" s="268"/>
      <c r="M253" s="268"/>
      <c r="N253" s="268"/>
      <c r="O253" s="268"/>
      <c r="P253" s="218"/>
      <c r="Q253" s="269"/>
      <c r="R253" s="215" t="str">
        <f ca="1">IF(ISERROR($V253),"",OFFSET('Smelter Look-up'!$C$4,$V253-4,0)&amp;"")</f>
        <v>PT Timah Tbk Kundur</v>
      </c>
      <c r="S253" s="222" t="str">
        <f t="shared" ca="1" si="33"/>
        <v>ID</v>
      </c>
      <c r="T253" s="222" t="str">
        <f ca="1">IF(B253="","",IF(ISERROR(MATCH($J253,SorP!$B$1:$B$6230,0)),"",INDIRECT("'SorP'!$A$"&amp;MATCH($J253,SorP!$B$1:$B$6230,0))))</f>
        <v>ID-RI</v>
      </c>
      <c r="U253" s="238"/>
      <c r="V253" s="270">
        <f>IF(C253="",NA(),MATCH($B253&amp;$C253,'Smelter Look-up'!$J:$J,0))</f>
        <v>491</v>
      </c>
      <c r="W253" s="271"/>
      <c r="X253" s="271">
        <f t="shared" si="34"/>
        <v>0</v>
      </c>
      <c r="Y253" s="271"/>
      <c r="Z253" s="271"/>
      <c r="AB253" s="273" t="str">
        <f t="shared" si="35"/>
        <v>TinPT Timah Tbk Kundur</v>
      </c>
    </row>
    <row r="254" spans="1:28" s="272" customFormat="1" ht="49.2">
      <c r="A254" s="214" t="s">
        <v>784</v>
      </c>
      <c r="B254" s="215" t="s">
        <v>1131</v>
      </c>
      <c r="C254" s="219" t="s">
        <v>14025</v>
      </c>
      <c r="D254" s="278"/>
      <c r="E254" s="215" t="s">
        <v>1105</v>
      </c>
      <c r="F254" s="215" t="s">
        <v>784</v>
      </c>
      <c r="G254" s="215" t="s">
        <v>13459</v>
      </c>
      <c r="H254" s="216">
        <v>0</v>
      </c>
      <c r="I254" s="217" t="s">
        <v>1808</v>
      </c>
      <c r="J254" s="217" t="s">
        <v>13066</v>
      </c>
      <c r="K254" s="268"/>
      <c r="L254" s="268"/>
      <c r="M254" s="268"/>
      <c r="N254" s="268"/>
      <c r="O254" s="268"/>
      <c r="P254" s="218"/>
      <c r="Q254" s="269"/>
      <c r="R254" s="215" t="str">
        <f ca="1">IF(ISERROR($V254),"",OFFSET('Smelter Look-up'!$C$4,$V254-4,0)&amp;"")</f>
        <v>PT Timah Tbk Mentok</v>
      </c>
      <c r="S254" s="222" t="str">
        <f t="shared" ca="1" si="33"/>
        <v>ID</v>
      </c>
      <c r="T254" s="222" t="str">
        <f ca="1">IF(B254="","",IF(ISERROR(MATCH($J254,SorP!$B$1:$B$6230,0)),"",INDIRECT("'SorP'!$A$"&amp;MATCH($J254,SorP!$B$1:$B$6230,0))))</f>
        <v>ID-BB</v>
      </c>
      <c r="U254" s="238"/>
      <c r="V254" s="270">
        <f>IF(C254="",NA(),MATCH($B254&amp;$C254,'Smelter Look-up'!$J:$J,0))</f>
        <v>492</v>
      </c>
      <c r="W254" s="271"/>
      <c r="X254" s="271">
        <f t="shared" si="34"/>
        <v>0</v>
      </c>
      <c r="Y254" s="271"/>
      <c r="Z254" s="271"/>
      <c r="AB254" s="273" t="str">
        <f t="shared" si="35"/>
        <v>TinPT Timah Tbk Mentok</v>
      </c>
    </row>
    <row r="255" spans="1:28" s="272" customFormat="1" ht="36.9">
      <c r="A255" s="214" t="s">
        <v>764</v>
      </c>
      <c r="B255" s="215" t="s">
        <v>1132</v>
      </c>
      <c r="C255" s="219" t="s">
        <v>1747</v>
      </c>
      <c r="D255" s="278"/>
      <c r="E255" s="215" t="s">
        <v>2463</v>
      </c>
      <c r="F255" s="215" t="s">
        <v>764</v>
      </c>
      <c r="G255" s="215" t="s">
        <v>13459</v>
      </c>
      <c r="H255" s="216">
        <v>0</v>
      </c>
      <c r="I255" s="217" t="s">
        <v>1748</v>
      </c>
      <c r="J255" s="217" t="s">
        <v>1749</v>
      </c>
      <c r="K255" s="268"/>
      <c r="L255" s="268"/>
      <c r="M255" s="268"/>
      <c r="N255" s="268"/>
      <c r="O255" s="268"/>
      <c r="P255" s="218"/>
      <c r="Q255" s="269"/>
      <c r="R255" s="215" t="str">
        <f ca="1">IF(ISERROR($V255),"",OFFSET('Smelter Look-up'!$C$4,$V255-4,0)&amp;"")</f>
        <v>Telex Metals</v>
      </c>
      <c r="S255" s="222" t="str">
        <f t="shared" ca="1" si="33"/>
        <v>US</v>
      </c>
      <c r="T255" s="222" t="str">
        <f ca="1">IF(B255="","",IF(ISERROR(MATCH($J255,SorP!$B$1:$B$6230,0)),"",INDIRECT("'SorP'!$A$"&amp;MATCH($J255,SorP!$B$1:$B$6230,0))))</f>
        <v>US-PA</v>
      </c>
      <c r="U255" s="238"/>
      <c r="V255" s="270">
        <f>IF(C255="",NA(),MATCH($B255&amp;$C255,'Smelter Look-up'!$J:$J,0))</f>
        <v>372</v>
      </c>
      <c r="W255" s="271"/>
      <c r="X255" s="271">
        <f t="shared" si="34"/>
        <v>0</v>
      </c>
      <c r="Y255" s="271"/>
      <c r="Z255" s="271"/>
      <c r="AB255" s="273" t="str">
        <f t="shared" si="35"/>
        <v>TantalumTelex Metals</v>
      </c>
    </row>
    <row r="256" spans="1:28" s="272" customFormat="1" ht="24.6">
      <c r="A256" s="214" t="s">
        <v>788</v>
      </c>
      <c r="B256" s="215" t="s">
        <v>1131</v>
      </c>
      <c r="C256" s="219" t="s">
        <v>1031</v>
      </c>
      <c r="D256" s="278"/>
      <c r="E256" s="215" t="s">
        <v>888</v>
      </c>
      <c r="F256" s="215" t="s">
        <v>788</v>
      </c>
      <c r="G256" s="215" t="s">
        <v>13459</v>
      </c>
      <c r="H256" s="216">
        <v>0</v>
      </c>
      <c r="I256" s="217" t="s">
        <v>1810</v>
      </c>
      <c r="J256" s="217" t="s">
        <v>1811</v>
      </c>
      <c r="K256" s="268"/>
      <c r="L256" s="268"/>
      <c r="M256" s="268"/>
      <c r="N256" s="268"/>
      <c r="O256" s="268"/>
      <c r="P256" s="218"/>
      <c r="Q256" s="269"/>
      <c r="R256" s="215" t="str">
        <f ca="1">IF(ISERROR($V256),"",OFFSET('Smelter Look-up'!$C$4,$V256-4,0)&amp;"")</f>
        <v>Thaisarco</v>
      </c>
      <c r="S256" s="222" t="str">
        <f t="shared" ca="1" si="33"/>
        <v>TH</v>
      </c>
      <c r="T256" s="222" t="str">
        <f ca="1">IF(B256="","",IF(ISERROR(MATCH($J256,SorP!$B$1:$B$6230,0)),"",INDIRECT("'SorP'!$A$"&amp;MATCH($J256,SorP!$B$1:$B$6230,0))))</f>
        <v>TH-83</v>
      </c>
      <c r="U256" s="238"/>
      <c r="V256" s="270">
        <f>IF(C256="",NA(),MATCH($B256&amp;$C256,'Smelter Look-up'!$J:$J,0))</f>
        <v>504</v>
      </c>
      <c r="W256" s="271"/>
      <c r="X256" s="271">
        <f t="shared" si="34"/>
        <v>0</v>
      </c>
      <c r="Y256" s="271"/>
      <c r="Z256" s="271"/>
      <c r="AB256" s="273" t="str">
        <f t="shared" si="35"/>
        <v>TinThaisarco</v>
      </c>
    </row>
    <row r="257" spans="1:28" s="272" customFormat="1" ht="73.8">
      <c r="A257" s="214" t="s">
        <v>789</v>
      </c>
      <c r="B257" s="215" t="s">
        <v>1131</v>
      </c>
      <c r="C257" s="219" t="s">
        <v>2566</v>
      </c>
      <c r="D257" s="278"/>
      <c r="E257" s="215" t="s">
        <v>1096</v>
      </c>
      <c r="F257" s="215" t="s">
        <v>789</v>
      </c>
      <c r="G257" s="215" t="s">
        <v>13459</v>
      </c>
      <c r="H257" s="216">
        <v>0</v>
      </c>
      <c r="I257" s="217" t="s">
        <v>1779</v>
      </c>
      <c r="J257" s="217" t="s">
        <v>1783</v>
      </c>
      <c r="K257" s="268"/>
      <c r="L257" s="268"/>
      <c r="M257" s="268"/>
      <c r="N257" s="268"/>
      <c r="O257" s="268"/>
      <c r="P257" s="218"/>
      <c r="Q257" s="269"/>
      <c r="R257" s="215" t="str">
        <f ca="1">IF(ISERROR($V257),"",OFFSET('Smelter Look-up'!$C$4,$V257-4,0)&amp;"")</f>
        <v>White Solder Metalurgia e Mineracao Ltda.</v>
      </c>
      <c r="S257" s="222" t="str">
        <f t="shared" ca="1" si="33"/>
        <v>BR</v>
      </c>
      <c r="T257" s="222" t="str">
        <f ca="1">IF(B257="","",IF(ISERROR(MATCH($J257,SorP!$B$1:$B$6230,0)),"",INDIRECT("'SorP'!$A$"&amp;MATCH($J257,SorP!$B$1:$B$6230,0))))</f>
        <v>BR-RO</v>
      </c>
      <c r="U257" s="238"/>
      <c r="V257" s="270">
        <f>IF(C257="",NA(),MATCH($B257&amp;$C257,'Smelter Look-up'!$J:$J,0))</f>
        <v>512</v>
      </c>
      <c r="W257" s="271"/>
      <c r="X257" s="271">
        <f t="shared" si="34"/>
        <v>0</v>
      </c>
      <c r="Y257" s="271"/>
      <c r="Z257" s="271"/>
      <c r="AB257" s="273" t="str">
        <f t="shared" si="35"/>
        <v>TinWhite Solder Metalurgia e Mineracao Ltda.</v>
      </c>
    </row>
    <row r="258" spans="1:28" s="272" customFormat="1" ht="86.1">
      <c r="A258" s="214" t="s">
        <v>802</v>
      </c>
      <c r="B258" s="215" t="s">
        <v>1133</v>
      </c>
      <c r="C258" s="219" t="s">
        <v>2575</v>
      </c>
      <c r="D258" s="278"/>
      <c r="E258" s="215" t="s">
        <v>1094</v>
      </c>
      <c r="F258" s="215" t="s">
        <v>802</v>
      </c>
      <c r="G258" s="215" t="s">
        <v>13459</v>
      </c>
      <c r="H258" s="216">
        <v>0</v>
      </c>
      <c r="I258" s="217" t="s">
        <v>1845</v>
      </c>
      <c r="J258" s="217" t="s">
        <v>2847</v>
      </c>
      <c r="K258" s="268"/>
      <c r="L258" s="268"/>
      <c r="M258" s="268"/>
      <c r="N258" s="268"/>
      <c r="O258" s="268"/>
      <c r="P258" s="218"/>
      <c r="Q258" s="269"/>
      <c r="R258" s="215" t="str">
        <f ca="1">IF(ISERROR($V258),"",OFFSET('Smelter Look-up'!$C$4,$V258-4,0)&amp;"")</f>
        <v>Wolfram Bergbau und Hutten AG</v>
      </c>
      <c r="S258" s="222" t="str">
        <f t="shared" ca="1" si="33"/>
        <v>AT</v>
      </c>
      <c r="T258" s="222" t="str">
        <f ca="1">IF(B258="","",IF(ISERROR(MATCH($J258,SorP!$B$1:$B$6230,0)),"",INDIRECT("'SorP'!$A$"&amp;MATCH($J258,SorP!$B$1:$B$6230,0))))</f>
        <v>AT-6</v>
      </c>
      <c r="U258" s="238"/>
      <c r="V258" s="270">
        <f>IF(C258="",NA(),MATCH($B258&amp;$C258,'Smelter Look-up'!$J:$J,0))</f>
        <v>600</v>
      </c>
      <c r="W258" s="271"/>
      <c r="X258" s="271">
        <f t="shared" si="34"/>
        <v>0</v>
      </c>
      <c r="Y258" s="271"/>
      <c r="Z258" s="271"/>
      <c r="AB258" s="273" t="str">
        <f t="shared" si="35"/>
        <v>TungstenWolfram Bergbau und Hutten AG</v>
      </c>
    </row>
    <row r="259" spans="1:28" s="272" customFormat="1" ht="61.5">
      <c r="A259" s="214" t="s">
        <v>803</v>
      </c>
      <c r="B259" s="215" t="s">
        <v>1133</v>
      </c>
      <c r="C259" s="219" t="s">
        <v>1383</v>
      </c>
      <c r="D259" s="278"/>
      <c r="E259" s="215" t="s">
        <v>1100</v>
      </c>
      <c r="F259" s="215" t="s">
        <v>803</v>
      </c>
      <c r="G259" s="215" t="s">
        <v>13459</v>
      </c>
      <c r="H259" s="216">
        <v>0</v>
      </c>
      <c r="I259" s="217" t="s">
        <v>1848</v>
      </c>
      <c r="J259" s="217" t="s">
        <v>13841</v>
      </c>
      <c r="K259" s="268"/>
      <c r="L259" s="268"/>
      <c r="M259" s="268"/>
      <c r="N259" s="268"/>
      <c r="O259" s="268"/>
      <c r="P259" s="218"/>
      <c r="Q259" s="269"/>
      <c r="R259" s="215" t="str">
        <f ca="1">IF(ISERROR($V259),"",OFFSET('Smelter Look-up'!$C$4,$V259-4,0)&amp;"")</f>
        <v>Xiamen Tungsten Co., Ltd.</v>
      </c>
      <c r="S259" s="222" t="str">
        <f t="shared" ca="1" si="33"/>
        <v>CN</v>
      </c>
      <c r="T259" s="222" t="str">
        <f ca="1">IF(B259="","",IF(ISERROR(MATCH($J259,SorP!$B$1:$B$6230,0)),"",INDIRECT("'SorP'!$A$"&amp;MATCH($J259,SorP!$B$1:$B$6230,0))))</f>
        <v>CN-FJ</v>
      </c>
      <c r="U259" s="238"/>
      <c r="V259" s="270">
        <f>IF(C259="",NA(),MATCH($B259&amp;$C259,'Smelter Look-up'!$J:$J,0))</f>
        <v>605</v>
      </c>
      <c r="W259" s="271"/>
      <c r="X259" s="271">
        <f t="shared" si="34"/>
        <v>0</v>
      </c>
      <c r="Y259" s="271"/>
      <c r="Z259" s="271"/>
      <c r="AB259" s="273" t="str">
        <f t="shared" si="35"/>
        <v>TungstenXiamen Tungsten Co., Ltd.</v>
      </c>
    </row>
    <row r="260" spans="1:28" s="272" customFormat="1" ht="61.5">
      <c r="A260" s="214" t="s">
        <v>791</v>
      </c>
      <c r="B260" s="215" t="s">
        <v>1131</v>
      </c>
      <c r="C260" s="219" t="s">
        <v>2370</v>
      </c>
      <c r="D260" s="278"/>
      <c r="E260" s="215" t="s">
        <v>1100</v>
      </c>
      <c r="F260" s="215" t="s">
        <v>791</v>
      </c>
      <c r="G260" s="215" t="s">
        <v>13459</v>
      </c>
      <c r="H260" s="216">
        <v>0</v>
      </c>
      <c r="I260" s="217" t="s">
        <v>2477</v>
      </c>
      <c r="J260" s="217" t="s">
        <v>13851</v>
      </c>
      <c r="K260" s="268"/>
      <c r="L260" s="268"/>
      <c r="M260" s="268"/>
      <c r="N260" s="268"/>
      <c r="O260" s="268"/>
      <c r="P260" s="218"/>
      <c r="Q260" s="269"/>
      <c r="R260" s="215" t="str">
        <f ca="1">IF(ISERROR($V260),"",OFFSET('Smelter Look-up'!$C$4,$V260-4,0)&amp;"")</f>
        <v>Yunnan Tin Company Limited</v>
      </c>
      <c r="S260" s="222" t="str">
        <f t="shared" ca="1" si="33"/>
        <v>CN</v>
      </c>
      <c r="T260" s="222" t="str">
        <f ca="1">IF(B260="","",IF(ISERROR(MATCH($J260,SorP!$B$1:$B$6230,0)),"",INDIRECT("'SorP'!$A$"&amp;MATCH($J260,SorP!$B$1:$B$6230,0))))</f>
        <v>CN-YN</v>
      </c>
      <c r="U260" s="238"/>
      <c r="V260" s="270">
        <f>IF(C260="",NA(),MATCH($B260&amp;$C260,'Smelter Look-up'!$J:$J,0))</f>
        <v>524</v>
      </c>
      <c r="W260" s="271"/>
      <c r="X260" s="271">
        <f t="shared" si="34"/>
        <v>0</v>
      </c>
      <c r="Y260" s="271"/>
      <c r="Z260" s="271"/>
      <c r="AB260" s="273" t="str">
        <f t="shared" si="35"/>
        <v>TinYunnan Tin Company Limited</v>
      </c>
    </row>
    <row r="261" spans="1:28" s="272" customFormat="1" ht="86.1">
      <c r="A261" s="214" t="s">
        <v>140</v>
      </c>
      <c r="B261" s="215" t="s">
        <v>1133</v>
      </c>
      <c r="C261" s="219" t="s">
        <v>151</v>
      </c>
      <c r="D261" s="278"/>
      <c r="E261" s="215" t="s">
        <v>1100</v>
      </c>
      <c r="F261" s="215" t="s">
        <v>140</v>
      </c>
      <c r="G261" s="215" t="s">
        <v>13459</v>
      </c>
      <c r="H261" s="216">
        <v>0</v>
      </c>
      <c r="I261" s="217" t="s">
        <v>1787</v>
      </c>
      <c r="J261" s="217" t="s">
        <v>13842</v>
      </c>
      <c r="K261" s="268"/>
      <c r="L261" s="268"/>
      <c r="M261" s="268"/>
      <c r="N261" s="268"/>
      <c r="O261" s="268"/>
      <c r="P261" s="218"/>
      <c r="Q261" s="269"/>
      <c r="R261" s="215" t="str">
        <f ca="1">IF(ISERROR($V261),"",OFFSET('Smelter Look-up'!$C$4,$V261-4,0)&amp;"")</f>
        <v>Ganzhou Jiangwu Ferrotungsten Co., Ltd.</v>
      </c>
      <c r="S261" s="222" t="str">
        <f t="shared" ref="S261" ca="1" si="36">IF(B261="","",IF(ISERROR(MATCH($E261,CL,0)),"Unknown",INDIRECT("'C'!$A$"&amp;MATCH($E261,CL,0)+1)))</f>
        <v>CN</v>
      </c>
      <c r="T261" s="222" t="str">
        <f ca="1">IF(B261="","",IF(ISERROR(MATCH($J261,SorP!$B$1:$B$6230,0)),"",INDIRECT("'SorP'!$A$"&amp;MATCH($J261,SorP!$B$1:$B$6230,0))))</f>
        <v>CN-JX</v>
      </c>
      <c r="U261" s="238"/>
      <c r="V261" s="270">
        <f>IF(C261="",NA(),MATCH($B261&amp;$C261,'Smelter Look-up'!$J:$J,0))</f>
        <v>557</v>
      </c>
      <c r="W261" s="271"/>
      <c r="X261" s="271">
        <f t="shared" ref="X261" si="37">IF(AND(C261="Smelter not listed",OR(LEN(D261)=0,LEN(E261)=0)),1,0)</f>
        <v>0</v>
      </c>
      <c r="Y261" s="271"/>
      <c r="Z261" s="271"/>
      <c r="AB261" s="273" t="str">
        <f t="shared" ref="AB261" si="38">B261&amp;C261</f>
        <v>TungstenGanzhou Jiangwu Ferrotungsten Co., Ltd.</v>
      </c>
    </row>
    <row r="262" spans="1:28" s="272" customFormat="1" ht="86.1">
      <c r="A262" s="214" t="s">
        <v>141</v>
      </c>
      <c r="B262" s="215" t="s">
        <v>1133</v>
      </c>
      <c r="C262" s="219" t="s">
        <v>152</v>
      </c>
      <c r="D262" s="278"/>
      <c r="E262" s="215" t="s">
        <v>1100</v>
      </c>
      <c r="F262" s="215" t="s">
        <v>141</v>
      </c>
      <c r="G262" s="215" t="s">
        <v>13459</v>
      </c>
      <c r="H262" s="216">
        <v>0</v>
      </c>
      <c r="I262" s="217" t="s">
        <v>1787</v>
      </c>
      <c r="J262" s="217" t="s">
        <v>13842</v>
      </c>
      <c r="K262" s="268"/>
      <c r="L262" s="268"/>
      <c r="M262" s="268"/>
      <c r="N262" s="268"/>
      <c r="O262" s="268"/>
      <c r="P262" s="218"/>
      <c r="Q262" s="269"/>
      <c r="R262" s="215" t="str">
        <f ca="1">IF(ISERROR($V262),"",OFFSET('Smelter Look-up'!$C$4,$V262-4,0)&amp;"")</f>
        <v>Jiangxi Yaosheng Tungsten Co., Ltd.</v>
      </c>
      <c r="S262" s="222" t="str">
        <f t="shared" ref="S262:S293" ca="1" si="39">IF(B262="","",IF(ISERROR(MATCH($E262,CL,0)),"Unknown",INDIRECT("'C'!$A$"&amp;MATCH($E262,CL,0)+1)))</f>
        <v>CN</v>
      </c>
      <c r="T262" s="222" t="str">
        <f ca="1">IF(B262="","",IF(ISERROR(MATCH($J262,SorP!$B$1:$B$6230,0)),"",INDIRECT("'SorP'!$A$"&amp;MATCH($J262,SorP!$B$1:$B$6230,0))))</f>
        <v>CN-JX</v>
      </c>
      <c r="U262" s="238"/>
      <c r="V262" s="270">
        <f>IF(C262="",NA(),MATCH($B262&amp;$C262,'Smelter Look-up'!$J:$J,0))</f>
        <v>580</v>
      </c>
      <c r="W262" s="271"/>
      <c r="X262" s="271">
        <f t="shared" ref="X262:X293" si="40">IF(AND(C262="Smelter not listed",OR(LEN(D262)=0,LEN(E262)=0)),1,0)</f>
        <v>0</v>
      </c>
      <c r="Y262" s="271"/>
      <c r="Z262" s="271"/>
      <c r="AB262" s="273" t="str">
        <f t="shared" ref="AB262:AB293" si="41">B262&amp;C262</f>
        <v>TungstenJiangxi Yaosheng Tungsten Co., Ltd.</v>
      </c>
    </row>
    <row r="263" spans="1:28" s="272" customFormat="1" ht="98.4">
      <c r="A263" s="214" t="s">
        <v>142</v>
      </c>
      <c r="B263" s="215" t="s">
        <v>1133</v>
      </c>
      <c r="C263" s="219" t="s">
        <v>153</v>
      </c>
      <c r="D263" s="278"/>
      <c r="E263" s="215" t="s">
        <v>1100</v>
      </c>
      <c r="F263" s="215" t="s">
        <v>142</v>
      </c>
      <c r="G263" s="215" t="s">
        <v>13459</v>
      </c>
      <c r="H263" s="216">
        <v>0</v>
      </c>
      <c r="I263" s="217" t="s">
        <v>1787</v>
      </c>
      <c r="J263" s="217" t="s">
        <v>13842</v>
      </c>
      <c r="K263" s="268"/>
      <c r="L263" s="268"/>
      <c r="M263" s="268"/>
      <c r="N263" s="268"/>
      <c r="O263" s="268"/>
      <c r="P263" s="218"/>
      <c r="Q263" s="269"/>
      <c r="R263" s="215" t="str">
        <f ca="1">IF(ISERROR($V263),"",OFFSET('Smelter Look-up'!$C$4,$V263-4,0)&amp;"")</f>
        <v>Jiangxi Xinsheng Tungsten Industry Co., Ltd.</v>
      </c>
      <c r="S263" s="222" t="str">
        <f t="shared" ca="1" si="39"/>
        <v>CN</v>
      </c>
      <c r="T263" s="222" t="str">
        <f ca="1">IF(B263="","",IF(ISERROR(MATCH($J263,SorP!$B$1:$B$6230,0)),"",INDIRECT("'SorP'!$A$"&amp;MATCH($J263,SorP!$B$1:$B$6230,0))))</f>
        <v>CN-JX</v>
      </c>
      <c r="U263" s="238"/>
      <c r="V263" s="270">
        <f>IF(C263="",NA(),MATCH($B263&amp;$C263,'Smelter Look-up'!$J:$J,0))</f>
        <v>579</v>
      </c>
      <c r="W263" s="271"/>
      <c r="X263" s="271">
        <f t="shared" si="40"/>
        <v>0</v>
      </c>
      <c r="Y263" s="271"/>
      <c r="Z263" s="271"/>
      <c r="AB263" s="273" t="str">
        <f t="shared" si="41"/>
        <v>TungstenJiangxi Xinsheng Tungsten Industry Co., Ltd.</v>
      </c>
    </row>
    <row r="264" spans="1:28" s="272" customFormat="1" ht="123">
      <c r="A264" s="214" t="s">
        <v>143</v>
      </c>
      <c r="B264" s="215" t="s">
        <v>1133</v>
      </c>
      <c r="C264" s="219" t="s">
        <v>154</v>
      </c>
      <c r="D264" s="278"/>
      <c r="E264" s="215" t="s">
        <v>1100</v>
      </c>
      <c r="F264" s="215" t="s">
        <v>143</v>
      </c>
      <c r="G264" s="215" t="s">
        <v>13459</v>
      </c>
      <c r="H264" s="216">
        <v>0</v>
      </c>
      <c r="I264" s="217" t="s">
        <v>1850</v>
      </c>
      <c r="J264" s="217" t="s">
        <v>13842</v>
      </c>
      <c r="K264" s="268"/>
      <c r="L264" s="268"/>
      <c r="M264" s="268"/>
      <c r="N264" s="268"/>
      <c r="O264" s="268"/>
      <c r="P264" s="218"/>
      <c r="Q264" s="269"/>
      <c r="R264" s="215" t="str">
        <f ca="1">IF(ISERROR($V264),"",OFFSET('Smelter Look-up'!$C$4,$V264-4,0)&amp;"")</f>
        <v>Jiangxi Tonggu Non-ferrous Metallurgical &amp; Chemical Co., Ltd.</v>
      </c>
      <c r="S264" s="222" t="str">
        <f t="shared" ca="1" si="39"/>
        <v>CN</v>
      </c>
      <c r="T264" s="222" t="str">
        <f ca="1">IF(B264="","",IF(ISERROR(MATCH($J264,SorP!$B$1:$B$6230,0)),"",INDIRECT("'SorP'!$A$"&amp;MATCH($J264,SorP!$B$1:$B$6230,0))))</f>
        <v>CN-JX</v>
      </c>
      <c r="U264" s="238"/>
      <c r="V264" s="270">
        <f>IF(C264="",NA(),MATCH($B264&amp;$C264,'Smelter Look-up'!$J:$J,0))</f>
        <v>576</v>
      </c>
      <c r="W264" s="271"/>
      <c r="X264" s="271">
        <f t="shared" si="40"/>
        <v>0</v>
      </c>
      <c r="Y264" s="271"/>
      <c r="Z264" s="271"/>
      <c r="AB264" s="273" t="str">
        <f t="shared" si="41"/>
        <v>TungstenJiangxi Tonggu Non-ferrous Metallurgical &amp; Chemical Co., Ltd.</v>
      </c>
    </row>
    <row r="265" spans="1:28" s="272" customFormat="1" ht="61.5">
      <c r="A265" s="214" t="s">
        <v>145</v>
      </c>
      <c r="B265" s="215" t="s">
        <v>1133</v>
      </c>
      <c r="C265" s="219" t="s">
        <v>156</v>
      </c>
      <c r="D265" s="278"/>
      <c r="E265" s="215" t="s">
        <v>1100</v>
      </c>
      <c r="F265" s="215" t="s">
        <v>145</v>
      </c>
      <c r="G265" s="215" t="s">
        <v>13459</v>
      </c>
      <c r="H265" s="216">
        <v>0</v>
      </c>
      <c r="I265" s="217" t="s">
        <v>1848</v>
      </c>
      <c r="J265" s="217" t="s">
        <v>13841</v>
      </c>
      <c r="K265" s="268"/>
      <c r="L265" s="268"/>
      <c r="M265" s="268"/>
      <c r="N265" s="268"/>
      <c r="O265" s="268"/>
      <c r="P265" s="218"/>
      <c r="Q265" s="269"/>
      <c r="R265" s="215" t="str">
        <f ca="1">IF(ISERROR($V265),"",OFFSET('Smelter Look-up'!$C$4,$V265-4,0)&amp;"")</f>
        <v>Xiamen Tungsten (H.C.) Co., Ltd.</v>
      </c>
      <c r="S265" s="222" t="str">
        <f t="shared" ca="1" si="39"/>
        <v>CN</v>
      </c>
      <c r="T265" s="222" t="str">
        <f ca="1">IF(B265="","",IF(ISERROR(MATCH($J265,SorP!$B$1:$B$6230,0)),"",INDIRECT("'SorP'!$A$"&amp;MATCH($J265,SorP!$B$1:$B$6230,0))))</f>
        <v>CN-FJ</v>
      </c>
      <c r="U265" s="238"/>
      <c r="V265" s="270">
        <f>IF(C265="",NA(),MATCH($B265&amp;$C265,'Smelter Look-up'!$J:$J,0))</f>
        <v>604</v>
      </c>
      <c r="W265" s="271"/>
      <c r="X265" s="271">
        <f t="shared" si="40"/>
        <v>0</v>
      </c>
      <c r="Y265" s="271"/>
      <c r="Z265" s="271"/>
      <c r="AB265" s="273" t="str">
        <f t="shared" si="41"/>
        <v>TungstenXiamen Tungsten (H.C.) Co., Ltd.</v>
      </c>
    </row>
    <row r="266" spans="1:28" s="272" customFormat="1" ht="73.8">
      <c r="A266" s="214" t="s">
        <v>138</v>
      </c>
      <c r="B266" s="215" t="s">
        <v>1133</v>
      </c>
      <c r="C266" s="219" t="s">
        <v>157</v>
      </c>
      <c r="D266" s="278"/>
      <c r="E266" s="215" t="s">
        <v>1100</v>
      </c>
      <c r="F266" s="215" t="s">
        <v>138</v>
      </c>
      <c r="G266" s="215" t="s">
        <v>13459</v>
      </c>
      <c r="H266" s="216">
        <v>0</v>
      </c>
      <c r="I266" s="217" t="s">
        <v>1853</v>
      </c>
      <c r="J266" s="217" t="s">
        <v>13842</v>
      </c>
      <c r="K266" s="268"/>
      <c r="L266" s="268"/>
      <c r="M266" s="268"/>
      <c r="N266" s="268"/>
      <c r="O266" s="268"/>
      <c r="P266" s="218"/>
      <c r="Q266" s="269"/>
      <c r="R266" s="215" t="str">
        <f ca="1">IF(ISERROR($V266),"",OFFSET('Smelter Look-up'!$C$4,$V266-4,0)&amp;"")</f>
        <v>Jiangxi Gan Bei Tungsten Co., Ltd.</v>
      </c>
      <c r="S266" s="222" t="str">
        <f t="shared" ca="1" si="39"/>
        <v>CN</v>
      </c>
      <c r="T266" s="222" t="str">
        <f ca="1">IF(B266="","",IF(ISERROR(MATCH($J266,SorP!$B$1:$B$6230,0)),"",INDIRECT("'SorP'!$A$"&amp;MATCH($J266,SorP!$B$1:$B$6230,0))))</f>
        <v>CN-JX</v>
      </c>
      <c r="U266" s="238"/>
      <c r="V266" s="270">
        <f>IF(C266="",NA(),MATCH($B266&amp;$C266,'Smelter Look-up'!$J:$J,0))</f>
        <v>574</v>
      </c>
      <c r="W266" s="271"/>
      <c r="X266" s="271">
        <f t="shared" si="40"/>
        <v>0</v>
      </c>
      <c r="Y266" s="271"/>
      <c r="Z266" s="271"/>
      <c r="AB266" s="273" t="str">
        <f t="shared" si="41"/>
        <v>TungstenJiangxi Gan Bei Tungsten Co., Ltd.</v>
      </c>
    </row>
    <row r="267" spans="1:28" s="272" customFormat="1" ht="86.1">
      <c r="A267" s="214" t="s">
        <v>393</v>
      </c>
      <c r="B267" s="215" t="s">
        <v>1133</v>
      </c>
      <c r="C267" s="219" t="s">
        <v>392</v>
      </c>
      <c r="D267" s="278"/>
      <c r="E267" s="215" t="s">
        <v>1100</v>
      </c>
      <c r="F267" s="215" t="s">
        <v>393</v>
      </c>
      <c r="G267" s="215" t="s">
        <v>13459</v>
      </c>
      <c r="H267" s="216">
        <v>0</v>
      </c>
      <c r="I267" s="217" t="s">
        <v>1787</v>
      </c>
      <c r="J267" s="217" t="s">
        <v>13842</v>
      </c>
      <c r="K267" s="268"/>
      <c r="L267" s="268"/>
      <c r="M267" s="268"/>
      <c r="N267" s="268"/>
      <c r="O267" s="268"/>
      <c r="P267" s="218"/>
      <c r="Q267" s="269"/>
      <c r="R267" s="215" t="str">
        <f ca="1">IF(ISERROR($V267),"",OFFSET('Smelter Look-up'!$C$4,$V267-4,0)&amp;"")</f>
        <v>Ganzhou Seadragon W &amp; Mo Co., Ltd.</v>
      </c>
      <c r="S267" s="222" t="str">
        <f t="shared" ca="1" si="39"/>
        <v>CN</v>
      </c>
      <c r="T267" s="222" t="str">
        <f ca="1">IF(B267="","",IF(ISERROR(MATCH($J267,SorP!$B$1:$B$6230,0)),"",INDIRECT("'SorP'!$A$"&amp;MATCH($J267,SorP!$B$1:$B$6230,0))))</f>
        <v>CN-JX</v>
      </c>
      <c r="U267" s="238"/>
      <c r="V267" s="270">
        <f>IF(C267="",NA(),MATCH($B267&amp;$C267,'Smelter Look-up'!$J:$J,0))</f>
        <v>558</v>
      </c>
      <c r="W267" s="271"/>
      <c r="X267" s="271">
        <f t="shared" si="40"/>
        <v>0</v>
      </c>
      <c r="Y267" s="271"/>
      <c r="Z267" s="271"/>
      <c r="AB267" s="273" t="str">
        <f t="shared" si="41"/>
        <v>TungstenGanzhou Seadragon W &amp; Mo Co., Ltd.</v>
      </c>
    </row>
    <row r="268" spans="1:28" s="272" customFormat="1" ht="61.5">
      <c r="A268" s="214" t="s">
        <v>1396</v>
      </c>
      <c r="B268" s="215" t="s">
        <v>1132</v>
      </c>
      <c r="C268" s="219" t="s">
        <v>1395</v>
      </c>
      <c r="D268" s="278"/>
      <c r="E268" s="215" t="s">
        <v>2463</v>
      </c>
      <c r="F268" s="215" t="s">
        <v>1396</v>
      </c>
      <c r="G268" s="215" t="s">
        <v>13459</v>
      </c>
      <c r="H268" s="216">
        <v>0</v>
      </c>
      <c r="I268" s="217" t="s">
        <v>1753</v>
      </c>
      <c r="J268" s="217" t="s">
        <v>1754</v>
      </c>
      <c r="K268" s="268"/>
      <c r="L268" s="268"/>
      <c r="M268" s="268"/>
      <c r="N268" s="268"/>
      <c r="O268" s="268"/>
      <c r="P268" s="218"/>
      <c r="Q268" s="269"/>
      <c r="R268" s="215" t="str">
        <f ca="1">IF(ISERROR($V268),"",OFFSET('Smelter Look-up'!$C$4,$V268-4,0)&amp;"")</f>
        <v>D Block Metals, LLC</v>
      </c>
      <c r="S268" s="222" t="str">
        <f t="shared" ca="1" si="39"/>
        <v>US</v>
      </c>
      <c r="T268" s="222" t="str">
        <f ca="1">IF(B268="","",IF(ISERROR(MATCH($J268,SorP!$B$1:$B$6230,0)),"",INDIRECT("'SorP'!$A$"&amp;MATCH($J268,SorP!$B$1:$B$6230,0))))</f>
        <v>US-NC</v>
      </c>
      <c r="U268" s="238"/>
      <c r="V268" s="270">
        <f>IF(C268="",NA(),MATCH($B268&amp;$C268,'Smelter Look-up'!$J:$J,0))</f>
        <v>318</v>
      </c>
      <c r="W268" s="271"/>
      <c r="X268" s="271">
        <f t="shared" si="40"/>
        <v>0</v>
      </c>
      <c r="Y268" s="271"/>
      <c r="Z268" s="271"/>
      <c r="AB268" s="273" t="str">
        <f t="shared" si="41"/>
        <v>TantalumD Block Metals, LLC</v>
      </c>
    </row>
    <row r="269" spans="1:28" s="272" customFormat="1" ht="86.1">
      <c r="A269" s="214" t="s">
        <v>1398</v>
      </c>
      <c r="B269" s="215" t="s">
        <v>1132</v>
      </c>
      <c r="C269" s="219" t="s">
        <v>2189</v>
      </c>
      <c r="D269" s="278"/>
      <c r="E269" s="215" t="s">
        <v>1100</v>
      </c>
      <c r="F269" s="215" t="s">
        <v>1398</v>
      </c>
      <c r="G269" s="215" t="s">
        <v>13459</v>
      </c>
      <c r="H269" s="216">
        <v>0</v>
      </c>
      <c r="I269" s="217" t="s">
        <v>1756</v>
      </c>
      <c r="J269" s="217" t="s">
        <v>13842</v>
      </c>
      <c r="K269" s="268"/>
      <c r="L269" s="268"/>
      <c r="M269" s="268"/>
      <c r="N269" s="268"/>
      <c r="O269" s="268"/>
      <c r="P269" s="218"/>
      <c r="Q269" s="269"/>
      <c r="R269" s="215" t="str">
        <f ca="1">IF(ISERROR($V269),"",OFFSET('Smelter Look-up'!$C$4,$V269-4,0)&amp;"")</f>
        <v>Jiangxi Dinghai Tantalum &amp; Niobium Co., Ltd.</v>
      </c>
      <c r="S269" s="222" t="str">
        <f t="shared" ca="1" si="39"/>
        <v>CN</v>
      </c>
      <c r="T269" s="222" t="str">
        <f ca="1">IF(B269="","",IF(ISERROR(MATCH($J269,SorP!$B$1:$B$6230,0)),"",INDIRECT("'SorP'!$A$"&amp;MATCH($J269,SorP!$B$1:$B$6230,0))))</f>
        <v>CN-JX</v>
      </c>
      <c r="U269" s="238"/>
      <c r="V269" s="270">
        <f>IF(C269="",NA(),MATCH($B269&amp;$C269,'Smelter Look-up'!$J:$J,0))</f>
        <v>333</v>
      </c>
      <c r="W269" s="271"/>
      <c r="X269" s="271">
        <f t="shared" si="40"/>
        <v>0</v>
      </c>
      <c r="Y269" s="271"/>
      <c r="Z269" s="271"/>
      <c r="AB269" s="273" t="str">
        <f t="shared" si="41"/>
        <v>TantalumJiangxi Dinghai Tantalum &amp; Niobium Co., Ltd.</v>
      </c>
    </row>
    <row r="270" spans="1:28" s="272" customFormat="1" ht="98.4">
      <c r="A270" s="214" t="s">
        <v>1406</v>
      </c>
      <c r="B270" s="215" t="s">
        <v>1133</v>
      </c>
      <c r="C270" s="219" t="s">
        <v>1405</v>
      </c>
      <c r="D270" s="278"/>
      <c r="E270" s="215" t="s">
        <v>1100</v>
      </c>
      <c r="F270" s="215" t="s">
        <v>1406</v>
      </c>
      <c r="G270" s="215" t="s">
        <v>13459</v>
      </c>
      <c r="H270" s="216">
        <v>0</v>
      </c>
      <c r="I270" s="217" t="s">
        <v>1788</v>
      </c>
      <c r="J270" s="217" t="s">
        <v>13846</v>
      </c>
      <c r="K270" s="268"/>
      <c r="L270" s="268"/>
      <c r="M270" s="268"/>
      <c r="N270" s="268"/>
      <c r="O270" s="268"/>
      <c r="P270" s="218"/>
      <c r="Q270" s="269"/>
      <c r="R270" s="215" t="str">
        <f ca="1">IF(ISERROR($V270),"",OFFSET('Smelter Look-up'!$C$4,$V270-4,0)&amp;"")</f>
        <v>Chenzhou Diamond Tungsten Products Co., Ltd.</v>
      </c>
      <c r="S270" s="222" t="str">
        <f t="shared" ca="1" si="39"/>
        <v>CN</v>
      </c>
      <c r="T270" s="222" t="str">
        <f ca="1">IF(B270="","",IF(ISERROR(MATCH($J270,SorP!$B$1:$B$6230,0)),"",INDIRECT("'SorP'!$A$"&amp;MATCH($J270,SorP!$B$1:$B$6230,0))))</f>
        <v>CN-HN</v>
      </c>
      <c r="U270" s="238"/>
      <c r="V270" s="270">
        <f>IF(C270="",NA(),MATCH($B270&amp;$C270,'Smelter Look-up'!$J:$J,0))</f>
        <v>545</v>
      </c>
      <c r="W270" s="271"/>
      <c r="X270" s="271">
        <f t="shared" si="40"/>
        <v>0</v>
      </c>
      <c r="Y270" s="271"/>
      <c r="Z270" s="271"/>
      <c r="AB270" s="273" t="str">
        <f t="shared" si="41"/>
        <v>TungstenChenzhou Diamond Tungsten Products Co., Ltd.</v>
      </c>
    </row>
    <row r="271" spans="1:28" s="272" customFormat="1" ht="49.2">
      <c r="A271" s="214" t="s">
        <v>1426</v>
      </c>
      <c r="B271" s="215" t="s">
        <v>1132</v>
      </c>
      <c r="C271" s="219" t="s">
        <v>1425</v>
      </c>
      <c r="D271" s="278"/>
      <c r="E271" s="215" t="s">
        <v>1113</v>
      </c>
      <c r="F271" s="215" t="s">
        <v>1426</v>
      </c>
      <c r="G271" s="215" t="s">
        <v>13459</v>
      </c>
      <c r="H271" s="216">
        <v>0</v>
      </c>
      <c r="I271" s="217" t="s">
        <v>1757</v>
      </c>
      <c r="J271" s="217" t="s">
        <v>1758</v>
      </c>
      <c r="K271" s="268"/>
      <c r="L271" s="268"/>
      <c r="M271" s="268"/>
      <c r="N271" s="268"/>
      <c r="O271" s="268"/>
      <c r="P271" s="218"/>
      <c r="Q271" s="269"/>
      <c r="R271" s="215" t="str">
        <f ca="1">IF(ISERROR($V271),"",OFFSET('Smelter Look-up'!$C$4,$V271-4,0)&amp;"")</f>
        <v>KEMET de Mexico</v>
      </c>
      <c r="S271" s="222" t="str">
        <f t="shared" ca="1" si="39"/>
        <v>MX</v>
      </c>
      <c r="T271" s="222" t="str">
        <f ca="1">IF(B271="","",IF(ISERROR(MATCH($J271,SorP!$B$1:$B$6230,0)),"",INDIRECT("'SorP'!$A$"&amp;MATCH($J271,SorP!$B$1:$B$6230,0))))</f>
        <v>MX-TAM</v>
      </c>
      <c r="U271" s="238"/>
      <c r="V271" s="270">
        <f>IF(C271="",NA(),MATCH($B271&amp;$C271,'Smelter Look-up'!$J:$J,0))</f>
        <v>339</v>
      </c>
      <c r="W271" s="271"/>
      <c r="X271" s="271">
        <f t="shared" si="40"/>
        <v>0</v>
      </c>
      <c r="Y271" s="271"/>
      <c r="Z271" s="271"/>
      <c r="AB271" s="273" t="str">
        <f t="shared" si="41"/>
        <v>TantalumKEMET Blue Metals</v>
      </c>
    </row>
    <row r="272" spans="1:28" s="272" customFormat="1" ht="61.5">
      <c r="A272" s="214" t="s">
        <v>1428</v>
      </c>
      <c r="B272" s="215" t="s">
        <v>1133</v>
      </c>
      <c r="C272" s="219" t="s">
        <v>2570</v>
      </c>
      <c r="D272" s="278"/>
      <c r="E272" s="215" t="s">
        <v>1101</v>
      </c>
      <c r="F272" s="215" t="s">
        <v>1428</v>
      </c>
      <c r="G272" s="215" t="s">
        <v>13459</v>
      </c>
      <c r="H272" s="216">
        <v>0</v>
      </c>
      <c r="I272" s="217" t="s">
        <v>1761</v>
      </c>
      <c r="J272" s="217" t="s">
        <v>4284</v>
      </c>
      <c r="K272" s="268"/>
      <c r="L272" s="268"/>
      <c r="M272" s="268"/>
      <c r="N272" s="268"/>
      <c r="O272" s="268"/>
      <c r="P272" s="218"/>
      <c r="Q272" s="269"/>
      <c r="R272" s="215" t="str">
        <f ca="1">IF(ISERROR($V272),"",OFFSET('Smelter Look-up'!$C$4,$V272-4,0)&amp;"")</f>
        <v>H.C. Starck Tungsten GmbH</v>
      </c>
      <c r="S272" s="222" t="str">
        <f t="shared" ca="1" si="39"/>
        <v>DE</v>
      </c>
      <c r="T272" s="222" t="str">
        <f ca="1">IF(B272="","",IF(ISERROR(MATCH($J272,SorP!$B$1:$B$6230,0)),"",INDIRECT("'SorP'!$A$"&amp;MATCH($J272,SorP!$B$1:$B$6230,0))))</f>
        <v>DE-NI</v>
      </c>
      <c r="U272" s="238"/>
      <c r="V272" s="270">
        <f>IF(C272="",NA(),MATCH($B272&amp;$C272,'Smelter Look-up'!$J:$J,0))</f>
        <v>564</v>
      </c>
      <c r="W272" s="271"/>
      <c r="X272" s="271">
        <f t="shared" si="40"/>
        <v>0</v>
      </c>
      <c r="Y272" s="271"/>
      <c r="Z272" s="271"/>
      <c r="AB272" s="273" t="str">
        <f t="shared" si="41"/>
        <v>TungstenH.C. Starck Tungsten GmbH</v>
      </c>
    </row>
    <row r="273" spans="1:28" s="272" customFormat="1" ht="73.8">
      <c r="A273" s="214" t="s">
        <v>1429</v>
      </c>
      <c r="B273" s="215" t="s">
        <v>1133</v>
      </c>
      <c r="C273" s="219" t="s">
        <v>2361</v>
      </c>
      <c r="D273" s="278"/>
      <c r="E273" s="215" t="s">
        <v>1101</v>
      </c>
      <c r="F273" s="215" t="s">
        <v>1429</v>
      </c>
      <c r="G273" s="215" t="s">
        <v>13459</v>
      </c>
      <c r="H273" s="216">
        <v>0</v>
      </c>
      <c r="I273" s="217" t="s">
        <v>1762</v>
      </c>
      <c r="J273" s="217" t="s">
        <v>1550</v>
      </c>
      <c r="K273" s="268"/>
      <c r="L273" s="268"/>
      <c r="M273" s="268"/>
      <c r="N273" s="268"/>
      <c r="O273" s="268"/>
      <c r="P273" s="218"/>
      <c r="Q273" s="269"/>
      <c r="R273" s="215" t="str">
        <f ca="1">IF(ISERROR($V273),"",OFFSET('Smelter Look-up'!$C$4,$V273-4,0)&amp;"")</f>
        <v>TANIOBIS Smelting GmbH &amp; Co. KG</v>
      </c>
      <c r="S273" s="222" t="str">
        <f t="shared" ca="1" si="39"/>
        <v>DE</v>
      </c>
      <c r="T273" s="222" t="str">
        <f ca="1">IF(B273="","",IF(ISERROR(MATCH($J273,SorP!$B$1:$B$6230,0)),"",INDIRECT("'SorP'!$A$"&amp;MATCH($J273,SorP!$B$1:$B$6230,0))))</f>
        <v>DE-BW</v>
      </c>
      <c r="U273" s="238"/>
      <c r="V273" s="270">
        <f>IF(C273="",NA(),MATCH($B273&amp;$C273,'Smelter Look-up'!$J:$J,0))</f>
        <v>563</v>
      </c>
      <c r="W273" s="271"/>
      <c r="X273" s="271">
        <f t="shared" si="40"/>
        <v>0</v>
      </c>
      <c r="Y273" s="271"/>
      <c r="Z273" s="271"/>
      <c r="AB273" s="273" t="str">
        <f t="shared" si="41"/>
        <v>TungstenH.C. Starck Smelting GmbH &amp; Co. KG</v>
      </c>
    </row>
    <row r="274" spans="1:28" s="272" customFormat="1" ht="86.1">
      <c r="A274" s="214" t="s">
        <v>1432</v>
      </c>
      <c r="B274" s="215" t="s">
        <v>1133</v>
      </c>
      <c r="C274" s="219" t="s">
        <v>14051</v>
      </c>
      <c r="D274" s="278"/>
      <c r="E274" s="215" t="s">
        <v>892</v>
      </c>
      <c r="F274" s="215" t="s">
        <v>1432</v>
      </c>
      <c r="G274" s="215" t="s">
        <v>13459</v>
      </c>
      <c r="H274" s="216">
        <v>0</v>
      </c>
      <c r="I274" s="217" t="s">
        <v>1855</v>
      </c>
      <c r="J274" s="217" t="s">
        <v>12344</v>
      </c>
      <c r="K274" s="268"/>
      <c r="L274" s="268"/>
      <c r="M274" s="268"/>
      <c r="N274" s="268"/>
      <c r="O274" s="268"/>
      <c r="P274" s="218"/>
      <c r="Q274" s="269"/>
      <c r="R274" s="215" t="str">
        <f ca="1">IF(ISERROR($V274),"",OFFSET('Smelter Look-up'!$C$4,$V274-4,0)&amp;"")</f>
        <v>Masan High-Tech Materials</v>
      </c>
      <c r="S274" s="222" t="str">
        <f t="shared" ca="1" si="39"/>
        <v>VN</v>
      </c>
      <c r="T274" s="222" t="str">
        <f ca="1">IF(B274="","",IF(ISERROR(MATCH($J274,SorP!$B$1:$B$6230,0)),"",INDIRECT("'SorP'!$A$"&amp;MATCH($J274,SorP!$B$1:$B$6230,0))))</f>
        <v>VN-69</v>
      </c>
      <c r="U274" s="238"/>
      <c r="V274" s="270">
        <f>IF(C274="",NA(),MATCH($B274&amp;$C274,'Smelter Look-up'!$J:$J,0))</f>
        <v>588</v>
      </c>
      <c r="W274" s="271"/>
      <c r="X274" s="271">
        <f t="shared" si="40"/>
        <v>0</v>
      </c>
      <c r="Y274" s="271"/>
      <c r="Z274" s="271"/>
      <c r="AB274" s="273" t="str">
        <f t="shared" si="41"/>
        <v>TungstenMasan Tungsten Chemical LLC (MTC)</v>
      </c>
    </row>
    <row r="275" spans="1:28" s="272" customFormat="1" ht="86.1">
      <c r="A275" s="214" t="s">
        <v>1417</v>
      </c>
      <c r="B275" s="215" t="s">
        <v>1132</v>
      </c>
      <c r="C275" s="219" t="s">
        <v>2558</v>
      </c>
      <c r="D275" s="278"/>
      <c r="E275" s="215" t="s">
        <v>1101</v>
      </c>
      <c r="F275" s="215" t="s">
        <v>1417</v>
      </c>
      <c r="G275" s="215" t="s">
        <v>13459</v>
      </c>
      <c r="H275" s="216">
        <v>0</v>
      </c>
      <c r="I275" s="217" t="s">
        <v>1761</v>
      </c>
      <c r="J275" s="217" t="s">
        <v>4284</v>
      </c>
      <c r="K275" s="268"/>
      <c r="L275" s="268"/>
      <c r="M275" s="268"/>
      <c r="N275" s="268"/>
      <c r="O275" s="268"/>
      <c r="P275" s="218"/>
      <c r="Q275" s="269"/>
      <c r="R275" s="215" t="str">
        <f ca="1">IF(ISERROR($V275),"",OFFSET('Smelter Look-up'!$C$4,$V275-4,0)&amp;"")</f>
        <v>TANIOBIS GmbH</v>
      </c>
      <c r="S275" s="222" t="str">
        <f t="shared" ca="1" si="39"/>
        <v>DE</v>
      </c>
      <c r="T275" s="222" t="str">
        <f ca="1">IF(B275="","",IF(ISERROR(MATCH($J275,SorP!$B$1:$B$6230,0)),"",INDIRECT("'SorP'!$A$"&amp;MATCH($J275,SorP!$B$1:$B$6230,0))))</f>
        <v>DE-NI</v>
      </c>
      <c r="U275" s="238"/>
      <c r="V275" s="270">
        <f>IF(C275="",NA(),MATCH($B275&amp;$C275,'Smelter Look-up'!$J:$J,0))</f>
        <v>331</v>
      </c>
      <c r="W275" s="271"/>
      <c r="X275" s="271">
        <f t="shared" si="40"/>
        <v>0</v>
      </c>
      <c r="Y275" s="271"/>
      <c r="Z275" s="271"/>
      <c r="AB275" s="273" t="str">
        <f t="shared" si="41"/>
        <v>TantalumH.C. Starck Tantalum and Niobium GmbH</v>
      </c>
    </row>
    <row r="276" spans="1:28" s="272" customFormat="1" ht="61.5">
      <c r="A276" s="214" t="s">
        <v>1419</v>
      </c>
      <c r="B276" s="215" t="s">
        <v>1132</v>
      </c>
      <c r="C276" s="219" t="s">
        <v>1418</v>
      </c>
      <c r="D276" s="278"/>
      <c r="E276" s="215" t="s">
        <v>1101</v>
      </c>
      <c r="F276" s="215" t="s">
        <v>1419</v>
      </c>
      <c r="G276" s="215" t="s">
        <v>13459</v>
      </c>
      <c r="H276" s="216">
        <v>0</v>
      </c>
      <c r="I276" s="217" t="s">
        <v>1763</v>
      </c>
      <c r="J276" s="217" t="s">
        <v>4262</v>
      </c>
      <c r="K276" s="268"/>
      <c r="L276" s="268"/>
      <c r="M276" s="268"/>
      <c r="N276" s="268"/>
      <c r="O276" s="268"/>
      <c r="P276" s="218"/>
      <c r="Q276" s="269"/>
      <c r="R276" s="215" t="str">
        <f ca="1">IF(ISERROR($V276),"",OFFSET('Smelter Look-up'!$C$4,$V276-4,0)&amp;"")</f>
        <v>H.C. Starck Hermsdorf GmbH</v>
      </c>
      <c r="S276" s="222" t="str">
        <f t="shared" ca="1" si="39"/>
        <v>DE</v>
      </c>
      <c r="T276" s="222" t="str">
        <f ca="1">IF(B276="","",IF(ISERROR(MATCH($J276,SorP!$B$1:$B$6230,0)),"",INDIRECT("'SorP'!$A$"&amp;MATCH($J276,SorP!$B$1:$B$6230,0))))</f>
        <v>DE-TH</v>
      </c>
      <c r="U276" s="238"/>
      <c r="V276" s="270">
        <f>IF(C276="",NA(),MATCH($B276&amp;$C276,'Smelter Look-up'!$J:$J,0))</f>
        <v>327</v>
      </c>
      <c r="W276" s="271"/>
      <c r="X276" s="271">
        <f t="shared" si="40"/>
        <v>0</v>
      </c>
      <c r="Y276" s="271"/>
      <c r="Z276" s="271"/>
      <c r="AB276" s="273" t="str">
        <f t="shared" si="41"/>
        <v>TantalumH.C. Starck Hermsdorf GmbH</v>
      </c>
    </row>
    <row r="277" spans="1:28" s="272" customFormat="1" ht="49.2">
      <c r="A277" s="214" t="s">
        <v>1421</v>
      </c>
      <c r="B277" s="215" t="s">
        <v>1132</v>
      </c>
      <c r="C277" s="219" t="s">
        <v>1420</v>
      </c>
      <c r="D277" s="278"/>
      <c r="E277" s="215" t="s">
        <v>2463</v>
      </c>
      <c r="F277" s="215" t="s">
        <v>1421</v>
      </c>
      <c r="G277" s="215" t="s">
        <v>13459</v>
      </c>
      <c r="H277" s="216">
        <v>0</v>
      </c>
      <c r="I277" s="217" t="s">
        <v>1764</v>
      </c>
      <c r="J277" s="217" t="s">
        <v>1632</v>
      </c>
      <c r="K277" s="268"/>
      <c r="L277" s="268"/>
      <c r="M277" s="268"/>
      <c r="N277" s="268"/>
      <c r="O277" s="268"/>
      <c r="P277" s="218"/>
      <c r="Q277" s="269"/>
      <c r="R277" s="215" t="str">
        <f ca="1">IF(ISERROR($V277),"",OFFSET('Smelter Look-up'!$C$4,$V277-4,0)&amp;"")</f>
        <v>H.C. Starck Inc.</v>
      </c>
      <c r="S277" s="222" t="str">
        <f t="shared" ca="1" si="39"/>
        <v>US</v>
      </c>
      <c r="T277" s="222" t="str">
        <f ca="1">IF(B277="","",IF(ISERROR(MATCH($J277,SorP!$B$1:$B$6230,0)),"",INDIRECT("'SorP'!$A$"&amp;MATCH($J277,SorP!$B$1:$B$6230,0))))</f>
        <v>US-MA</v>
      </c>
      <c r="U277" s="238"/>
      <c r="V277" s="270">
        <f>IF(C277="",NA(),MATCH($B277&amp;$C277,'Smelter Look-up'!$J:$J,0))</f>
        <v>328</v>
      </c>
      <c r="W277" s="271"/>
      <c r="X277" s="271">
        <f t="shared" si="40"/>
        <v>0</v>
      </c>
      <c r="Y277" s="271"/>
      <c r="Z277" s="271"/>
      <c r="AB277" s="273" t="str">
        <f t="shared" si="41"/>
        <v>TantalumH.C. Starck Inc.</v>
      </c>
    </row>
    <row r="278" spans="1:28" s="272" customFormat="1" ht="49.2">
      <c r="A278" s="214" t="s">
        <v>1423</v>
      </c>
      <c r="B278" s="215" t="s">
        <v>1132</v>
      </c>
      <c r="C278" s="219" t="s">
        <v>1422</v>
      </c>
      <c r="D278" s="278"/>
      <c r="E278" s="215" t="s">
        <v>1108</v>
      </c>
      <c r="F278" s="215" t="s">
        <v>1423</v>
      </c>
      <c r="G278" s="215" t="s">
        <v>13459</v>
      </c>
      <c r="H278" s="216">
        <v>0</v>
      </c>
      <c r="I278" s="217" t="s">
        <v>1765</v>
      </c>
      <c r="J278" s="217" t="s">
        <v>1766</v>
      </c>
      <c r="K278" s="268"/>
      <c r="L278" s="268"/>
      <c r="M278" s="268"/>
      <c r="N278" s="268"/>
      <c r="O278" s="268"/>
      <c r="P278" s="218"/>
      <c r="Q278" s="269"/>
      <c r="R278" s="215" t="str">
        <f ca="1">IF(ISERROR($V278),"",OFFSET('Smelter Look-up'!$C$4,$V278-4,0)&amp;"")</f>
        <v>TANIOBIS Japan Co., Ltd.</v>
      </c>
      <c r="S278" s="222" t="str">
        <f t="shared" ca="1" si="39"/>
        <v>JP</v>
      </c>
      <c r="T278" s="222" t="str">
        <f ca="1">IF(B278="","",IF(ISERROR(MATCH($J278,SorP!$B$1:$B$6230,0)),"",INDIRECT("'SorP'!$A$"&amp;MATCH($J278,SorP!$B$1:$B$6230,0))))</f>
        <v>JP-08</v>
      </c>
      <c r="U278" s="238"/>
      <c r="V278" s="270">
        <f>IF(C278="",NA(),MATCH($B278&amp;$C278,'Smelter Look-up'!$J:$J,0))</f>
        <v>329</v>
      </c>
      <c r="W278" s="271"/>
      <c r="X278" s="271">
        <f t="shared" si="40"/>
        <v>0</v>
      </c>
      <c r="Y278" s="271"/>
      <c r="Z278" s="271"/>
      <c r="AB278" s="273" t="str">
        <f t="shared" si="41"/>
        <v>TantalumH.C. Starck Ltd.</v>
      </c>
    </row>
    <row r="279" spans="1:28" s="272" customFormat="1" ht="73.8">
      <c r="A279" s="214" t="s">
        <v>1424</v>
      </c>
      <c r="B279" s="215" t="s">
        <v>1132</v>
      </c>
      <c r="C279" s="219" t="s">
        <v>2361</v>
      </c>
      <c r="D279" s="278"/>
      <c r="E279" s="215" t="s">
        <v>1101</v>
      </c>
      <c r="F279" s="215" t="s">
        <v>1424</v>
      </c>
      <c r="G279" s="215" t="s">
        <v>13459</v>
      </c>
      <c r="H279" s="216">
        <v>0</v>
      </c>
      <c r="I279" s="217" t="s">
        <v>1762</v>
      </c>
      <c r="J279" s="217" t="s">
        <v>1550</v>
      </c>
      <c r="K279" s="268"/>
      <c r="L279" s="268"/>
      <c r="M279" s="268"/>
      <c r="N279" s="268"/>
      <c r="O279" s="268"/>
      <c r="P279" s="218"/>
      <c r="Q279" s="269"/>
      <c r="R279" s="215" t="str">
        <f ca="1">IF(ISERROR($V279),"",OFFSET('Smelter Look-up'!$C$4,$V279-4,0)&amp;"")</f>
        <v>TANIOBIS Smelting GmbH &amp; Co. KG</v>
      </c>
      <c r="S279" s="222" t="str">
        <f t="shared" ca="1" si="39"/>
        <v>DE</v>
      </c>
      <c r="T279" s="222" t="str">
        <f ca="1">IF(B279="","",IF(ISERROR(MATCH($J279,SorP!$B$1:$B$6230,0)),"",INDIRECT("'SorP'!$A$"&amp;MATCH($J279,SorP!$B$1:$B$6230,0))))</f>
        <v>DE-BW</v>
      </c>
      <c r="U279" s="238"/>
      <c r="V279" s="270">
        <f>IF(C279="",NA(),MATCH($B279&amp;$C279,'Smelter Look-up'!$J:$J,0))</f>
        <v>330</v>
      </c>
      <c r="W279" s="271"/>
      <c r="X279" s="271">
        <f t="shared" si="40"/>
        <v>0</v>
      </c>
      <c r="Y279" s="271"/>
      <c r="Z279" s="271"/>
      <c r="AB279" s="273" t="str">
        <f t="shared" si="41"/>
        <v>TantalumH.C. Starck Smelting GmbH &amp; Co. KG</v>
      </c>
    </row>
    <row r="280" spans="1:28" s="272" customFormat="1" ht="98.4">
      <c r="A280" s="214" t="s">
        <v>1431</v>
      </c>
      <c r="B280" s="215" t="s">
        <v>1133</v>
      </c>
      <c r="C280" s="219" t="s">
        <v>1430</v>
      </c>
      <c r="D280" s="278"/>
      <c r="E280" s="215" t="s">
        <v>1100</v>
      </c>
      <c r="F280" s="215" t="s">
        <v>1431</v>
      </c>
      <c r="G280" s="215" t="s">
        <v>13459</v>
      </c>
      <c r="H280" s="216">
        <v>0</v>
      </c>
      <c r="I280" s="217" t="s">
        <v>1787</v>
      </c>
      <c r="J280" s="217" t="s">
        <v>13842</v>
      </c>
      <c r="K280" s="268"/>
      <c r="L280" s="268"/>
      <c r="M280" s="268"/>
      <c r="N280" s="268"/>
      <c r="O280" s="268"/>
      <c r="P280" s="218"/>
      <c r="Q280" s="269"/>
      <c r="R280" s="215" t="str">
        <f ca="1">IF(ISERROR($V280),"",OFFSET('Smelter Look-up'!$C$4,$V280-4,0)&amp;"")</f>
        <v>Jiangwu H.C. Starck Tungsten Products Co., Ltd.</v>
      </c>
      <c r="S280" s="222" t="str">
        <f t="shared" ca="1" si="39"/>
        <v>CN</v>
      </c>
      <c r="T280" s="222" t="str">
        <f ca="1">IF(B280="","",IF(ISERROR(MATCH($J280,SorP!$B$1:$B$6230,0)),"",INDIRECT("'SorP'!$A$"&amp;MATCH($J280,SorP!$B$1:$B$6230,0))))</f>
        <v>CN-JX</v>
      </c>
      <c r="U280" s="238"/>
      <c r="V280" s="270">
        <f>IF(C280="",NA(),MATCH($B280&amp;$C280,'Smelter Look-up'!$J:$J,0))</f>
        <v>573</v>
      </c>
      <c r="W280" s="271"/>
      <c r="X280" s="271">
        <f t="shared" si="40"/>
        <v>0</v>
      </c>
      <c r="Y280" s="271"/>
      <c r="Z280" s="271"/>
      <c r="AB280" s="273" t="str">
        <f t="shared" si="41"/>
        <v>TungstenJiangwu H.C. Starck Tungsten Products Co., Ltd.</v>
      </c>
    </row>
    <row r="281" spans="1:28" s="272" customFormat="1" ht="73.8">
      <c r="A281" s="214" t="s">
        <v>1414</v>
      </c>
      <c r="B281" s="215" t="s">
        <v>1132</v>
      </c>
      <c r="C281" s="219" t="s">
        <v>1413</v>
      </c>
      <c r="D281" s="278"/>
      <c r="E281" s="215" t="s">
        <v>2463</v>
      </c>
      <c r="F281" s="215" t="s">
        <v>1414</v>
      </c>
      <c r="G281" s="215" t="s">
        <v>13459</v>
      </c>
      <c r="H281" s="216">
        <v>0</v>
      </c>
      <c r="I281" s="217" t="s">
        <v>1767</v>
      </c>
      <c r="J281" s="217" t="s">
        <v>1749</v>
      </c>
      <c r="K281" s="268"/>
      <c r="L281" s="268"/>
      <c r="M281" s="268"/>
      <c r="N281" s="268"/>
      <c r="O281" s="268"/>
      <c r="P281" s="218"/>
      <c r="Q281" s="269"/>
      <c r="R281" s="215" t="str">
        <f ca="1">IF(ISERROR($V281),"",OFFSET('Smelter Look-up'!$C$4,$V281-4,0)&amp;"")</f>
        <v>Global Advanced Metals Boyertown</v>
      </c>
      <c r="S281" s="222" t="str">
        <f t="shared" ca="1" si="39"/>
        <v>US</v>
      </c>
      <c r="T281" s="222" t="str">
        <f ca="1">IF(B281="","",IF(ISERROR(MATCH($J281,SorP!$B$1:$B$6230,0)),"",INDIRECT("'SorP'!$A$"&amp;MATCH($J281,SorP!$B$1:$B$6230,0))))</f>
        <v>US-PA</v>
      </c>
      <c r="U281" s="238"/>
      <c r="V281" s="270">
        <f>IF(C281="",NA(),MATCH($B281&amp;$C281,'Smelter Look-up'!$J:$J,0))</f>
        <v>324</v>
      </c>
      <c r="W281" s="271"/>
      <c r="X281" s="271">
        <f t="shared" si="40"/>
        <v>0</v>
      </c>
      <c r="Y281" s="271"/>
      <c r="Z281" s="271"/>
      <c r="AB281" s="273" t="str">
        <f t="shared" si="41"/>
        <v>TantalumGlobal Advanced Metals Boyertown</v>
      </c>
    </row>
    <row r="282" spans="1:28" s="272" customFormat="1" ht="98.4">
      <c r="A282" s="214" t="s">
        <v>2569</v>
      </c>
      <c r="B282" s="215" t="s">
        <v>1133</v>
      </c>
      <c r="C282" s="219" t="s">
        <v>13154</v>
      </c>
      <c r="D282" s="278"/>
      <c r="E282" s="215" t="s">
        <v>1100</v>
      </c>
      <c r="F282" s="215" t="s">
        <v>2569</v>
      </c>
      <c r="G282" s="215" t="s">
        <v>13459</v>
      </c>
      <c r="H282" s="216">
        <v>0</v>
      </c>
      <c r="I282" s="217" t="s">
        <v>1787</v>
      </c>
      <c r="J282" s="217" t="s">
        <v>13842</v>
      </c>
      <c r="K282" s="268"/>
      <c r="L282" s="268"/>
      <c r="M282" s="268"/>
      <c r="N282" s="268"/>
      <c r="O282" s="268"/>
      <c r="P282" s="218"/>
      <c r="Q282" s="269"/>
      <c r="R282" s="215" t="str">
        <f ca="1">IF(ISERROR($V282),"",OFFSET('Smelter Look-up'!$C$4,$V282-4,0)&amp;"")</f>
        <v>Ganzhou Haichuang Tungsten Co., Ltd.</v>
      </c>
      <c r="S282" s="222" t="str">
        <f t="shared" ca="1" si="39"/>
        <v>CN</v>
      </c>
      <c r="T282" s="222" t="str">
        <f ca="1">IF(B282="","",IF(ISERROR(MATCH($J282,SorP!$B$1:$B$6230,0)),"",INDIRECT("'SorP'!$A$"&amp;MATCH($J282,SorP!$B$1:$B$6230,0))))</f>
        <v>CN-JX</v>
      </c>
      <c r="U282" s="238"/>
      <c r="V282" s="270">
        <f>IF(C282="",NA(),MATCH($B282&amp;$C282,'Smelter Look-up'!$J:$J,0))</f>
        <v>555</v>
      </c>
      <c r="W282" s="271"/>
      <c r="X282" s="271">
        <f t="shared" si="40"/>
        <v>0</v>
      </c>
      <c r="Y282" s="271"/>
      <c r="Z282" s="271"/>
      <c r="AB282" s="273" t="str">
        <f t="shared" si="41"/>
        <v>TungstenGanzhou Haichuang Tungsten Co., Ltd.</v>
      </c>
    </row>
    <row r="283" spans="1:28" s="272" customFormat="1" ht="49.2">
      <c r="A283" s="214" t="s">
        <v>1830</v>
      </c>
      <c r="B283" s="215" t="s">
        <v>1131</v>
      </c>
      <c r="C283" s="219" t="s">
        <v>13149</v>
      </c>
      <c r="D283" s="278"/>
      <c r="E283" s="215" t="s">
        <v>1095</v>
      </c>
      <c r="F283" s="215" t="s">
        <v>1830</v>
      </c>
      <c r="G283" s="215" t="s">
        <v>13459</v>
      </c>
      <c r="H283" s="216">
        <v>0</v>
      </c>
      <c r="I283" s="217" t="s">
        <v>1831</v>
      </c>
      <c r="J283" s="217" t="s">
        <v>3190</v>
      </c>
      <c r="K283" s="268"/>
      <c r="L283" s="268"/>
      <c r="M283" s="268"/>
      <c r="N283" s="268"/>
      <c r="O283" s="268"/>
      <c r="P283" s="218"/>
      <c r="Q283" s="269"/>
      <c r="R283" s="215" t="str">
        <f ca="1">IF(ISERROR($V283),"",OFFSET('Smelter Look-up'!$C$4,$V283-4,0)&amp;"")</f>
        <v>Metallo Belgium N.V.</v>
      </c>
      <c r="S283" s="222" t="str">
        <f t="shared" ca="1" si="39"/>
        <v>BE</v>
      </c>
      <c r="T283" s="222" t="str">
        <f ca="1">IF(B283="","",IF(ISERROR(MATCH($J283,SorP!$B$1:$B$6230,0)),"",INDIRECT("'SorP'!$A$"&amp;MATCH($J283,SorP!$B$1:$B$6230,0))))</f>
        <v>BE-VAN</v>
      </c>
      <c r="U283" s="238"/>
      <c r="V283" s="270">
        <f>IF(C283="",NA(),MATCH($B283&amp;$C283,'Smelter Look-up'!$J:$J,0))</f>
        <v>454</v>
      </c>
      <c r="W283" s="271"/>
      <c r="X283" s="271">
        <f t="shared" si="40"/>
        <v>0</v>
      </c>
      <c r="Y283" s="271"/>
      <c r="Z283" s="271"/>
      <c r="AB283" s="273" t="str">
        <f t="shared" si="41"/>
        <v>TinMetallo Belgium N.V.</v>
      </c>
    </row>
    <row r="284" spans="1:28" s="272" customFormat="1" ht="123">
      <c r="A284" s="214" t="s">
        <v>2298</v>
      </c>
      <c r="B284" s="215" t="s">
        <v>1133</v>
      </c>
      <c r="C284" s="219" t="s">
        <v>2297</v>
      </c>
      <c r="D284" s="278"/>
      <c r="E284" s="215" t="s">
        <v>1100</v>
      </c>
      <c r="F284" s="215" t="s">
        <v>2298</v>
      </c>
      <c r="G284" s="215" t="s">
        <v>13459</v>
      </c>
      <c r="H284" s="216">
        <v>0</v>
      </c>
      <c r="I284" s="217" t="s">
        <v>1787</v>
      </c>
      <c r="J284" s="217" t="s">
        <v>13842</v>
      </c>
      <c r="K284" s="268"/>
      <c r="L284" s="268"/>
      <c r="M284" s="268"/>
      <c r="N284" s="268"/>
      <c r="O284" s="268"/>
      <c r="P284" s="218"/>
      <c r="Q284" s="269"/>
      <c r="R284" s="215" t="str">
        <f ca="1">IF(ISERROR($V284),"",OFFSET('Smelter Look-up'!$C$4,$V284-4,0)&amp;"")</f>
        <v>Xinfeng Huarui Tungsten &amp; Molybdenum New Material Co., Ltd.</v>
      </c>
      <c r="S284" s="222" t="str">
        <f t="shared" ca="1" si="39"/>
        <v>CN</v>
      </c>
      <c r="T284" s="222" t="str">
        <f ca="1">IF(B284="","",IF(ISERROR(MATCH($J284,SorP!$B$1:$B$6230,0)),"",INDIRECT("'SorP'!$A$"&amp;MATCH($J284,SorP!$B$1:$B$6230,0))))</f>
        <v>CN-JX</v>
      </c>
      <c r="U284" s="238"/>
      <c r="V284" s="270">
        <f>IF(C284="",NA(),MATCH($B284&amp;$C284,'Smelter Look-up'!$J:$J,0))</f>
        <v>606</v>
      </c>
      <c r="W284" s="271"/>
      <c r="X284" s="271">
        <f t="shared" si="40"/>
        <v>0</v>
      </c>
      <c r="Y284" s="271"/>
      <c r="Z284" s="271"/>
      <c r="AB284" s="273" t="str">
        <f t="shared" si="41"/>
        <v>TungstenXinfeng Huarui Tungsten &amp; Molybdenum New Material Co., Ltd.</v>
      </c>
    </row>
    <row r="285" spans="1:28" s="272" customFormat="1" ht="61.5">
      <c r="A285" s="214" t="s">
        <v>792</v>
      </c>
      <c r="B285" s="215" t="s">
        <v>1133</v>
      </c>
      <c r="C285" s="219" t="s">
        <v>1834</v>
      </c>
      <c r="D285" s="278"/>
      <c r="E285" s="215" t="s">
        <v>1108</v>
      </c>
      <c r="F285" s="215" t="s">
        <v>792</v>
      </c>
      <c r="G285" s="215" t="s">
        <v>15640</v>
      </c>
      <c r="H285" s="216">
        <v>0</v>
      </c>
      <c r="I285" s="217" t="s">
        <v>2148</v>
      </c>
      <c r="J285" s="217" t="s">
        <v>2149</v>
      </c>
      <c r="K285" s="268"/>
      <c r="L285" s="268"/>
      <c r="M285" s="268"/>
      <c r="N285" s="268"/>
      <c r="O285" s="268"/>
      <c r="P285" s="218"/>
      <c r="Q285" s="269"/>
      <c r="R285" s="215" t="str">
        <f ca="1">IF(ISERROR($V285),"",OFFSET('Smelter Look-up'!$C$4,$V285-4,0)&amp;"")</f>
        <v>A.L.M.T. Corp.</v>
      </c>
      <c r="S285" s="222" t="str">
        <f t="shared" ca="1" si="39"/>
        <v>JP</v>
      </c>
      <c r="T285" s="222" t="str">
        <f ca="1">IF(B285="","",IF(ISERROR(MATCH($J285,SorP!$B$1:$B$6230,0)),"",INDIRECT("'SorP'!$A$"&amp;MATCH($J285,SorP!$B$1:$B$6230,0))))</f>
        <v>JP-16</v>
      </c>
      <c r="U285" s="238"/>
      <c r="V285" s="270">
        <f>IF(C285="",NA(),MATCH($B285&amp;$C285,'Smelter Look-up'!$J:$J,0))</f>
        <v>534</v>
      </c>
      <c r="W285" s="271"/>
      <c r="X285" s="271">
        <f t="shared" si="40"/>
        <v>0</v>
      </c>
      <c r="Y285" s="271"/>
      <c r="Z285" s="271"/>
      <c r="AB285" s="273" t="str">
        <f t="shared" si="41"/>
        <v>TungstenA.L.M.T. TUNGSTEN Corp.</v>
      </c>
    </row>
    <row r="286" spans="1:28" s="272" customFormat="1" ht="61.5">
      <c r="A286" s="214" t="s">
        <v>1428</v>
      </c>
      <c r="B286" s="215" t="s">
        <v>1133</v>
      </c>
      <c r="C286" s="219" t="s">
        <v>2570</v>
      </c>
      <c r="D286" s="278"/>
      <c r="E286" s="215" t="s">
        <v>1101</v>
      </c>
      <c r="F286" s="215" t="s">
        <v>1428</v>
      </c>
      <c r="G286" s="215" t="s">
        <v>15640</v>
      </c>
      <c r="H286" s="216">
        <v>0</v>
      </c>
      <c r="I286" s="217" t="s">
        <v>1761</v>
      </c>
      <c r="J286" s="217" t="s">
        <v>4284</v>
      </c>
      <c r="K286" s="268"/>
      <c r="L286" s="268"/>
      <c r="M286" s="268"/>
      <c r="N286" s="268"/>
      <c r="O286" s="268"/>
      <c r="P286" s="218"/>
      <c r="Q286" s="269"/>
      <c r="R286" s="215" t="str">
        <f ca="1">IF(ISERROR($V286),"",OFFSET('Smelter Look-up'!$C$4,$V286-4,0)&amp;"")</f>
        <v>H.C. Starck Tungsten GmbH</v>
      </c>
      <c r="S286" s="222" t="str">
        <f t="shared" ca="1" si="39"/>
        <v>DE</v>
      </c>
      <c r="T286" s="222" t="str">
        <f ca="1">IF(B286="","",IF(ISERROR(MATCH($J286,SorP!$B$1:$B$6230,0)),"",INDIRECT("'SorP'!$A$"&amp;MATCH($J286,SorP!$B$1:$B$6230,0))))</f>
        <v>DE-NI</v>
      </c>
      <c r="U286" s="238"/>
      <c r="V286" s="270">
        <f>IF(C286="",NA(),MATCH($B286&amp;$C286,'Smelter Look-up'!$J:$J,0))</f>
        <v>564</v>
      </c>
      <c r="W286" s="271"/>
      <c r="X286" s="271">
        <f t="shared" si="40"/>
        <v>0</v>
      </c>
      <c r="Y286" s="271"/>
      <c r="Z286" s="271"/>
      <c r="AB286" s="273" t="str">
        <f t="shared" si="41"/>
        <v>TungstenH.C. Starck Tungsten GmbH</v>
      </c>
    </row>
    <row r="287" spans="1:28" s="272" customFormat="1" ht="73.8">
      <c r="A287" s="214" t="s">
        <v>796</v>
      </c>
      <c r="B287" s="215" t="s">
        <v>1133</v>
      </c>
      <c r="C287" s="219" t="s">
        <v>1</v>
      </c>
      <c r="D287" s="278"/>
      <c r="E287" s="215" t="s">
        <v>2463</v>
      </c>
      <c r="F287" s="215" t="s">
        <v>796</v>
      </c>
      <c r="G287" s="215" t="s">
        <v>15640</v>
      </c>
      <c r="H287" s="216">
        <v>0</v>
      </c>
      <c r="I287" s="217" t="s">
        <v>1841</v>
      </c>
      <c r="J287" s="217" t="s">
        <v>1749</v>
      </c>
      <c r="K287" s="268"/>
      <c r="L287" s="268"/>
      <c r="M287" s="268"/>
      <c r="N287" s="268"/>
      <c r="O287" s="268"/>
      <c r="P287" s="218"/>
      <c r="Q287" s="269"/>
      <c r="R287" s="215" t="str">
        <f ca="1">IF(ISERROR($V287),"",OFFSET('Smelter Look-up'!$C$4,$V287-4,0)&amp;"")</f>
        <v>Global Tungsten &amp; Powders Corp.</v>
      </c>
      <c r="S287" s="222" t="str">
        <f t="shared" ca="1" si="39"/>
        <v>US</v>
      </c>
      <c r="T287" s="222" t="str">
        <f ca="1">IF(B287="","",IF(ISERROR(MATCH($J287,SorP!$B$1:$B$6230,0)),"",INDIRECT("'SorP'!$A$"&amp;MATCH($J287,SorP!$B$1:$B$6230,0))))</f>
        <v>US-PA</v>
      </c>
      <c r="U287" s="238"/>
      <c r="V287" s="270">
        <f>IF(C287="",NA(),MATCH($B287&amp;$C287,'Smelter Look-up'!$J:$J,0))</f>
        <v>560</v>
      </c>
      <c r="W287" s="271"/>
      <c r="X287" s="271">
        <f t="shared" si="40"/>
        <v>0</v>
      </c>
      <c r="Y287" s="271"/>
      <c r="Z287" s="271"/>
      <c r="AB287" s="273" t="str">
        <f t="shared" si="41"/>
        <v>TungstenGlobal Tungsten &amp; Powders Corp.</v>
      </c>
    </row>
    <row r="288" spans="1:28" s="272" customFormat="1" ht="61.5">
      <c r="A288" s="214" t="s">
        <v>145</v>
      </c>
      <c r="B288" s="215" t="s">
        <v>1133</v>
      </c>
      <c r="C288" s="219" t="s">
        <v>156</v>
      </c>
      <c r="D288" s="278"/>
      <c r="E288" s="215" t="s">
        <v>1100</v>
      </c>
      <c r="F288" s="215" t="s">
        <v>145</v>
      </c>
      <c r="G288" s="215" t="s">
        <v>15640</v>
      </c>
      <c r="H288" s="216">
        <v>0</v>
      </c>
      <c r="I288" s="217" t="s">
        <v>1848</v>
      </c>
      <c r="J288" s="217" t="s">
        <v>15641</v>
      </c>
      <c r="K288" s="268"/>
      <c r="L288" s="268"/>
      <c r="M288" s="268"/>
      <c r="N288" s="268"/>
      <c r="O288" s="268"/>
      <c r="P288" s="218"/>
      <c r="Q288" s="269"/>
      <c r="R288" s="215" t="str">
        <f ca="1">IF(ISERROR($V288),"",OFFSET('Smelter Look-up'!$C$4,$V288-4,0)&amp;"")</f>
        <v>Xiamen Tungsten (H.C.) Co., Ltd.</v>
      </c>
      <c r="S288" s="222" t="str">
        <f t="shared" ca="1" si="39"/>
        <v>CN</v>
      </c>
      <c r="T288" s="222" t="str">
        <f ca="1">IF(B288="","",IF(ISERROR(MATCH($J288,SorP!$B$1:$B$6230,0)),"",INDIRECT("'SorP'!$A$"&amp;MATCH($J288,SorP!$B$1:$B$6230,0))))</f>
        <v/>
      </c>
      <c r="U288" s="238"/>
      <c r="V288" s="270">
        <f>IF(C288="",NA(),MATCH($B288&amp;$C288,'Smelter Look-up'!$J:$J,0))</f>
        <v>604</v>
      </c>
      <c r="W288" s="271"/>
      <c r="X288" s="271">
        <f t="shared" si="40"/>
        <v>0</v>
      </c>
      <c r="Y288" s="271"/>
      <c r="Z288" s="271"/>
      <c r="AB288" s="273" t="str">
        <f t="shared" si="41"/>
        <v>TungstenXiamen Tungsten (H.C.) Co., Ltd.</v>
      </c>
    </row>
    <row r="289" spans="1:28" s="272" customFormat="1" ht="98.4">
      <c r="A289" s="214" t="s">
        <v>795</v>
      </c>
      <c r="B289" s="215" t="s">
        <v>1133</v>
      </c>
      <c r="C289" s="219" t="s">
        <v>1379</v>
      </c>
      <c r="D289" s="278"/>
      <c r="E289" s="215" t="s">
        <v>1100</v>
      </c>
      <c r="F289" s="215" t="s">
        <v>795</v>
      </c>
      <c r="G289" s="215" t="s">
        <v>15640</v>
      </c>
      <c r="H289" s="216">
        <v>0</v>
      </c>
      <c r="I289" s="217" t="s">
        <v>1787</v>
      </c>
      <c r="J289" s="217" t="s">
        <v>15642</v>
      </c>
      <c r="K289" s="268"/>
      <c r="L289" s="268"/>
      <c r="M289" s="268"/>
      <c r="N289" s="268"/>
      <c r="O289" s="268"/>
      <c r="P289" s="218"/>
      <c r="Q289" s="269"/>
      <c r="R289" s="215" t="str">
        <f ca="1">IF(ISERROR($V289),"",OFFSET('Smelter Look-up'!$C$4,$V289-4,0)&amp;"")</f>
        <v>Chongyi Zhangyuan Tungsten Co., Ltd.</v>
      </c>
      <c r="S289" s="222" t="str">
        <f t="shared" ca="1" si="39"/>
        <v>CN</v>
      </c>
      <c r="T289" s="222" t="str">
        <f ca="1">IF(B289="","",IF(ISERROR(MATCH($J289,SorP!$B$1:$B$6230,0)),"",INDIRECT("'SorP'!$A$"&amp;MATCH($J289,SorP!$B$1:$B$6230,0))))</f>
        <v/>
      </c>
      <c r="U289" s="238"/>
      <c r="V289" s="270">
        <f>IF(C289="",NA(),MATCH($B289&amp;$C289,'Smelter Look-up'!$J:$J,0))</f>
        <v>550</v>
      </c>
      <c r="W289" s="271"/>
      <c r="X289" s="271">
        <f t="shared" si="40"/>
        <v>0</v>
      </c>
      <c r="Y289" s="271"/>
      <c r="Z289" s="271"/>
      <c r="AB289" s="273" t="str">
        <f t="shared" si="41"/>
        <v>TungstenChongyi Zhangyuan Tungsten Co., Ltd.</v>
      </c>
    </row>
    <row r="290" spans="1:28" s="272" customFormat="1" ht="73.8">
      <c r="A290" s="214" t="s">
        <v>138</v>
      </c>
      <c r="B290" s="215" t="s">
        <v>1133</v>
      </c>
      <c r="C290" s="219" t="s">
        <v>157</v>
      </c>
      <c r="D290" s="278"/>
      <c r="E290" s="215" t="s">
        <v>1100</v>
      </c>
      <c r="F290" s="215" t="s">
        <v>138</v>
      </c>
      <c r="G290" s="215" t="s">
        <v>15640</v>
      </c>
      <c r="H290" s="216">
        <v>0</v>
      </c>
      <c r="I290" s="217" t="s">
        <v>1853</v>
      </c>
      <c r="J290" s="217" t="s">
        <v>15642</v>
      </c>
      <c r="K290" s="268"/>
      <c r="L290" s="268"/>
      <c r="M290" s="268"/>
      <c r="N290" s="268"/>
      <c r="O290" s="268"/>
      <c r="P290" s="218"/>
      <c r="Q290" s="269"/>
      <c r="R290" s="215" t="str">
        <f ca="1">IF(ISERROR($V290),"",OFFSET('Smelter Look-up'!$C$4,$V290-4,0)&amp;"")</f>
        <v>Jiangxi Gan Bei Tungsten Co., Ltd.</v>
      </c>
      <c r="S290" s="222" t="str">
        <f t="shared" ca="1" si="39"/>
        <v>CN</v>
      </c>
      <c r="T290" s="222" t="str">
        <f ca="1">IF(B290="","",IF(ISERROR(MATCH($J290,SorP!$B$1:$B$6230,0)),"",INDIRECT("'SorP'!$A$"&amp;MATCH($J290,SorP!$B$1:$B$6230,0))))</f>
        <v/>
      </c>
      <c r="U290" s="238"/>
      <c r="V290" s="270">
        <f>IF(C290="",NA(),MATCH($B290&amp;$C290,'Smelter Look-up'!$J:$J,0))</f>
        <v>574</v>
      </c>
      <c r="W290" s="271"/>
      <c r="X290" s="271">
        <f t="shared" si="40"/>
        <v>0</v>
      </c>
      <c r="Y290" s="271"/>
      <c r="Z290" s="271"/>
      <c r="AB290" s="273" t="str">
        <f t="shared" si="41"/>
        <v>TungstenJiangxi Gan Bei Tungsten Co., Ltd.</v>
      </c>
    </row>
    <row r="291" spans="1:28" s="272" customFormat="1" ht="110.7">
      <c r="A291" s="214" t="s">
        <v>15628</v>
      </c>
      <c r="B291" s="215" t="s">
        <v>1133</v>
      </c>
      <c r="C291" s="219" t="s">
        <v>15629</v>
      </c>
      <c r="D291" s="278"/>
      <c r="E291" s="215" t="s">
        <v>1100</v>
      </c>
      <c r="F291" s="215" t="s">
        <v>15628</v>
      </c>
      <c r="G291" s="215" t="s">
        <v>15640</v>
      </c>
      <c r="H291" s="216">
        <v>0</v>
      </c>
      <c r="I291" s="217" t="s">
        <v>1752</v>
      </c>
      <c r="J291" s="217" t="s">
        <v>15643</v>
      </c>
      <c r="K291" s="268"/>
      <c r="L291" s="268"/>
      <c r="M291" s="268"/>
      <c r="N291" s="268"/>
      <c r="O291" s="268"/>
      <c r="P291" s="218"/>
      <c r="Q291" s="269"/>
      <c r="R291" s="215" t="str">
        <f ca="1">IF(ISERROR($V291),"",OFFSET('Smelter Look-up'!$C$4,$V291-4,0)&amp;"")</f>
        <v/>
      </c>
      <c r="S291" s="222" t="str">
        <f t="shared" ca="1" si="39"/>
        <v>CN</v>
      </c>
      <c r="T291" s="222" t="str">
        <f ca="1">IF(B291="","",IF(ISERROR(MATCH($J291,SorP!$B$1:$B$6230,0)),"",INDIRECT("'SorP'!$A$"&amp;MATCH($J291,SorP!$B$1:$B$6230,0))))</f>
        <v/>
      </c>
      <c r="U291" s="238"/>
      <c r="V291" s="270" t="e">
        <f>IF(C291="",NA(),MATCH($B291&amp;$C291,'Smelter Look-up'!$J:$J,0))</f>
        <v>#N/A</v>
      </c>
      <c r="W291" s="271"/>
      <c r="X291" s="271">
        <f t="shared" si="40"/>
        <v>0</v>
      </c>
      <c r="Y291" s="271"/>
      <c r="Z291" s="271"/>
      <c r="AB291" s="273" t="str">
        <f t="shared" si="41"/>
        <v>TungstenHunan Chuangda Vanadium Tungsten Co., Ltd. Wuji</v>
      </c>
    </row>
    <row r="292" spans="1:28" s="272" customFormat="1" ht="73.8">
      <c r="A292" s="214" t="s">
        <v>797</v>
      </c>
      <c r="B292" s="215" t="s">
        <v>1133</v>
      </c>
      <c r="C292" s="219" t="s">
        <v>1377</v>
      </c>
      <c r="D292" s="278"/>
      <c r="E292" s="215" t="s">
        <v>1100</v>
      </c>
      <c r="F292" s="215" t="s">
        <v>797</v>
      </c>
      <c r="G292" s="215" t="s">
        <v>15640</v>
      </c>
      <c r="H292" s="216">
        <v>0</v>
      </c>
      <c r="I292" s="217" t="s">
        <v>2150</v>
      </c>
      <c r="J292" s="217" t="s">
        <v>15643</v>
      </c>
      <c r="K292" s="268"/>
      <c r="L292" s="268"/>
      <c r="M292" s="268"/>
      <c r="N292" s="268"/>
      <c r="O292" s="268"/>
      <c r="P292" s="218"/>
      <c r="Q292" s="269"/>
      <c r="R292" s="215" t="str">
        <f ca="1">IF(ISERROR($V292),"",OFFSET('Smelter Look-up'!$C$4,$V292-4,0)&amp;"")</f>
        <v>Hunan Chenzhou Mining Co., Ltd.</v>
      </c>
      <c r="S292" s="222" t="str">
        <f t="shared" ca="1" si="39"/>
        <v>CN</v>
      </c>
      <c r="T292" s="222" t="str">
        <f ca="1">IF(B292="","",IF(ISERROR(MATCH($J292,SorP!$B$1:$B$6230,0)),"",INDIRECT("'SorP'!$A$"&amp;MATCH($J292,SorP!$B$1:$B$6230,0))))</f>
        <v/>
      </c>
      <c r="U292" s="238"/>
      <c r="V292" s="270">
        <f>IF(C292="",NA(),MATCH($B292&amp;$C292,'Smelter Look-up'!$J:$J,0))</f>
        <v>568</v>
      </c>
      <c r="W292" s="271"/>
      <c r="X292" s="271">
        <f t="shared" si="40"/>
        <v>0</v>
      </c>
      <c r="Y292" s="271"/>
      <c r="Z292" s="271"/>
      <c r="AB292" s="273" t="str">
        <f t="shared" si="41"/>
        <v>TungstenHunan Chenzhou Mining Group Co., Ltd.</v>
      </c>
    </row>
    <row r="293" spans="1:28" s="272" customFormat="1" ht="49.2">
      <c r="A293" s="214" t="s">
        <v>1860</v>
      </c>
      <c r="B293" s="215" t="s">
        <v>1133</v>
      </c>
      <c r="C293" s="219" t="s">
        <v>1859</v>
      </c>
      <c r="D293" s="278"/>
      <c r="E293" s="215" t="s">
        <v>883</v>
      </c>
      <c r="F293" s="215" t="s">
        <v>1860</v>
      </c>
      <c r="G293" s="215" t="s">
        <v>15640</v>
      </c>
      <c r="H293" s="216">
        <v>0</v>
      </c>
      <c r="I293" s="217" t="s">
        <v>1861</v>
      </c>
      <c r="J293" s="217" t="s">
        <v>10236</v>
      </c>
      <c r="K293" s="268"/>
      <c r="L293" s="268"/>
      <c r="M293" s="268"/>
      <c r="N293" s="268"/>
      <c r="O293" s="268"/>
      <c r="P293" s="218"/>
      <c r="Q293" s="269"/>
      <c r="R293" s="215" t="str">
        <f ca="1">IF(ISERROR($V293),"",OFFSET('Smelter Look-up'!$C$4,$V293-4,0)&amp;"")</f>
        <v>Hydrometallurg, JSC</v>
      </c>
      <c r="S293" s="222" t="str">
        <f t="shared" ca="1" si="39"/>
        <v>RU</v>
      </c>
      <c r="T293" s="222" t="str">
        <f ca="1">IF(B293="","",IF(ISERROR(MATCH($J293,SorP!$B$1:$B$6230,0)),"",INDIRECT("'SorP'!$A$"&amp;MATCH($J293,SorP!$B$1:$B$6230,0))))</f>
        <v>RU-KB</v>
      </c>
      <c r="U293" s="238"/>
      <c r="V293" s="270">
        <f>IF(C293="",NA(),MATCH($B293&amp;$C293,'Smelter Look-up'!$J:$J,0))</f>
        <v>571</v>
      </c>
      <c r="W293" s="271"/>
      <c r="X293" s="271">
        <f t="shared" si="40"/>
        <v>0</v>
      </c>
      <c r="Y293" s="271"/>
      <c r="Z293" s="271"/>
      <c r="AB293" s="273" t="str">
        <f t="shared" si="41"/>
        <v>TungstenHydrometallurg, JSC</v>
      </c>
    </row>
    <row r="294" spans="1:28" s="272" customFormat="1" ht="73.8">
      <c r="A294" s="214" t="s">
        <v>144</v>
      </c>
      <c r="B294" s="215" t="s">
        <v>1133</v>
      </c>
      <c r="C294" s="219" t="s">
        <v>155</v>
      </c>
      <c r="D294" s="278"/>
      <c r="E294" s="215" t="s">
        <v>1100</v>
      </c>
      <c r="F294" s="215" t="s">
        <v>144</v>
      </c>
      <c r="G294" s="215" t="s">
        <v>15640</v>
      </c>
      <c r="H294" s="216">
        <v>0</v>
      </c>
      <c r="I294" s="217" t="s">
        <v>1851</v>
      </c>
      <c r="J294" s="217" t="s">
        <v>15644</v>
      </c>
      <c r="K294" s="268"/>
      <c r="L294" s="268"/>
      <c r="M294" s="268"/>
      <c r="N294" s="268"/>
      <c r="O294" s="268"/>
      <c r="P294" s="218"/>
      <c r="Q294" s="269"/>
      <c r="R294" s="215" t="str">
        <f ca="1">IF(ISERROR($V294),"",OFFSET('Smelter Look-up'!$C$4,$V294-4,0)&amp;"")</f>
        <v>Malipo Haiyu Tungsten Co., Ltd.</v>
      </c>
      <c r="S294" s="222" t="str">
        <f t="shared" ref="S294:S324" ca="1" si="42">IF(B294="","",IF(ISERROR(MATCH($E294,CL,0)),"Unknown",INDIRECT("'C'!$A$"&amp;MATCH($E294,CL,0)+1)))</f>
        <v>CN</v>
      </c>
      <c r="T294" s="222" t="str">
        <f ca="1">IF(B294="","",IF(ISERROR(MATCH($J294,SorP!$B$1:$B$6230,0)),"",INDIRECT("'SorP'!$A$"&amp;MATCH($J294,SorP!$B$1:$B$6230,0))))</f>
        <v/>
      </c>
      <c r="U294" s="238"/>
      <c r="V294" s="270">
        <f>IF(C294="",NA(),MATCH($B294&amp;$C294,'Smelter Look-up'!$J:$J,0))</f>
        <v>586</v>
      </c>
      <c r="W294" s="271"/>
      <c r="X294" s="271">
        <f t="shared" ref="X294:X324" si="43">IF(AND(C294="Smelter not listed",OR(LEN(D294)=0,LEN(E294)=0)),1,0)</f>
        <v>0</v>
      </c>
      <c r="Y294" s="271"/>
      <c r="Z294" s="271"/>
      <c r="AB294" s="273" t="str">
        <f t="shared" ref="AB294:AB324" si="44">B294&amp;C294</f>
        <v>TungstenMalipo Haiyu Tungsten Co., Ltd.</v>
      </c>
    </row>
    <row r="295" spans="1:28" s="272" customFormat="1" ht="123">
      <c r="A295" s="214" t="s">
        <v>143</v>
      </c>
      <c r="B295" s="215" t="s">
        <v>1133</v>
      </c>
      <c r="C295" s="219" t="s">
        <v>154</v>
      </c>
      <c r="D295" s="278"/>
      <c r="E295" s="215" t="s">
        <v>1100</v>
      </c>
      <c r="F295" s="215" t="s">
        <v>143</v>
      </c>
      <c r="G295" s="215" t="s">
        <v>15640</v>
      </c>
      <c r="H295" s="216">
        <v>0</v>
      </c>
      <c r="I295" s="217" t="s">
        <v>1850</v>
      </c>
      <c r="J295" s="217" t="s">
        <v>15642</v>
      </c>
      <c r="K295" s="268"/>
      <c r="L295" s="268"/>
      <c r="M295" s="268"/>
      <c r="N295" s="268"/>
      <c r="O295" s="268"/>
      <c r="P295" s="218"/>
      <c r="Q295" s="269"/>
      <c r="R295" s="215" t="str">
        <f ca="1">IF(ISERROR($V295),"",OFFSET('Smelter Look-up'!$C$4,$V295-4,0)&amp;"")</f>
        <v>Jiangxi Tonggu Non-ferrous Metallurgical &amp; Chemical Co., Ltd.</v>
      </c>
      <c r="S295" s="222" t="str">
        <f t="shared" ca="1" si="42"/>
        <v>CN</v>
      </c>
      <c r="T295" s="222" t="str">
        <f ca="1">IF(B295="","",IF(ISERROR(MATCH($J295,SorP!$B$1:$B$6230,0)),"",INDIRECT("'SorP'!$A$"&amp;MATCH($J295,SorP!$B$1:$B$6230,0))))</f>
        <v/>
      </c>
      <c r="U295" s="238"/>
      <c r="V295" s="270">
        <f>IF(C295="",NA(),MATCH($B295&amp;$C295,'Smelter Look-up'!$J:$J,0))</f>
        <v>576</v>
      </c>
      <c r="W295" s="271"/>
      <c r="X295" s="271">
        <f t="shared" si="43"/>
        <v>0</v>
      </c>
      <c r="Y295" s="271"/>
      <c r="Z295" s="271"/>
      <c r="AB295" s="273" t="str">
        <f t="shared" si="44"/>
        <v>TungstenJiangxi Tonggu Non-ferrous Metallurgical &amp; Chemical Co., Ltd.</v>
      </c>
    </row>
    <row r="296" spans="1:28" s="272" customFormat="1" ht="98.4">
      <c r="A296" s="214" t="s">
        <v>794</v>
      </c>
      <c r="B296" s="215" t="s">
        <v>1133</v>
      </c>
      <c r="C296" s="219" t="s">
        <v>2260</v>
      </c>
      <c r="D296" s="278"/>
      <c r="E296" s="215" t="s">
        <v>1100</v>
      </c>
      <c r="F296" s="215" t="s">
        <v>794</v>
      </c>
      <c r="G296" s="215" t="s">
        <v>15640</v>
      </c>
      <c r="H296" s="216">
        <v>0</v>
      </c>
      <c r="I296" s="217" t="s">
        <v>1839</v>
      </c>
      <c r="J296" s="217" t="s">
        <v>15431</v>
      </c>
      <c r="K296" s="268"/>
      <c r="L296" s="268"/>
      <c r="M296" s="268"/>
      <c r="N296" s="268"/>
      <c r="O296" s="268"/>
      <c r="P296" s="218"/>
      <c r="Q296" s="269"/>
      <c r="R296" s="215" t="str">
        <f ca="1">IF(ISERROR($V296),"",OFFSET('Smelter Look-up'!$C$4,$V296-4,0)&amp;"")</f>
        <v>Guangdong Xianglu Tungsten Co., Ltd.</v>
      </c>
      <c r="S296" s="222" t="str">
        <f t="shared" ca="1" si="42"/>
        <v>CN</v>
      </c>
      <c r="T296" s="222" t="str">
        <f ca="1">IF(B296="","",IF(ISERROR(MATCH($J296,SorP!$B$1:$B$6230,0)),"",INDIRECT("'SorP'!$A$"&amp;MATCH($J296,SorP!$B$1:$B$6230,0))))</f>
        <v/>
      </c>
      <c r="U296" s="238"/>
      <c r="V296" s="270">
        <f>IF(C296="",NA(),MATCH($B296&amp;$C296,'Smelter Look-up'!$J:$J,0))</f>
        <v>544</v>
      </c>
      <c r="W296" s="271"/>
      <c r="X296" s="271">
        <f t="shared" si="43"/>
        <v>0</v>
      </c>
      <c r="Y296" s="271"/>
      <c r="Z296" s="271"/>
      <c r="AB296" s="273" t="str">
        <f t="shared" si="44"/>
        <v>TungstenChaozhou Xianglu Tungsten Industry Co., Ltd.</v>
      </c>
    </row>
    <row r="297" spans="1:28" s="272" customFormat="1" ht="49.2">
      <c r="A297" s="214" t="s">
        <v>757</v>
      </c>
      <c r="B297" s="215" t="s">
        <v>1132</v>
      </c>
      <c r="C297" s="219" t="s">
        <v>1119</v>
      </c>
      <c r="D297" s="278"/>
      <c r="E297" s="215" t="s">
        <v>1108</v>
      </c>
      <c r="F297" s="215" t="s">
        <v>757</v>
      </c>
      <c r="G297" s="215" t="s">
        <v>15640</v>
      </c>
      <c r="H297" s="216">
        <v>0</v>
      </c>
      <c r="I297" s="217" t="s">
        <v>1738</v>
      </c>
      <c r="J297" s="217" t="s">
        <v>1739</v>
      </c>
      <c r="K297" s="268"/>
      <c r="L297" s="268"/>
      <c r="M297" s="268"/>
      <c r="N297" s="268"/>
      <c r="O297" s="268"/>
      <c r="P297" s="218"/>
      <c r="Q297" s="269"/>
      <c r="R297" s="215" t="str">
        <f ca="1">IF(ISERROR($V297),"",OFFSET('Smelter Look-up'!$C$4,$V297-4,0)&amp;"")</f>
        <v>Mitsui Mining and Smelting Co., Ltd.</v>
      </c>
      <c r="S297" s="222" t="str">
        <f t="shared" ca="1" si="42"/>
        <v>JP</v>
      </c>
      <c r="T297" s="222" t="str">
        <f ca="1">IF(B297="","",IF(ISERROR(MATCH($J297,SorP!$B$1:$B$6230,0)),"",INDIRECT("'SorP'!$A$"&amp;MATCH($J297,SorP!$B$1:$B$6230,0))))</f>
        <v>JP-40</v>
      </c>
      <c r="U297" s="238"/>
      <c r="V297" s="270">
        <f>IF(C297="",NA(),MATCH($B297&amp;$C297,'Smelter Look-up'!$J:$J,0))</f>
        <v>348</v>
      </c>
      <c r="W297" s="271"/>
      <c r="X297" s="271">
        <f t="shared" si="43"/>
        <v>0</v>
      </c>
      <c r="Y297" s="271"/>
      <c r="Z297" s="271"/>
      <c r="AB297" s="273" t="str">
        <f t="shared" si="44"/>
        <v>TantalumMitsui Mining &amp; Smelting</v>
      </c>
    </row>
    <row r="298" spans="1:28" s="272" customFormat="1" ht="73.8">
      <c r="A298" s="214" t="s">
        <v>765</v>
      </c>
      <c r="B298" s="215" t="s">
        <v>1132</v>
      </c>
      <c r="C298" s="219" t="s">
        <v>1750</v>
      </c>
      <c r="D298" s="278"/>
      <c r="E298" s="215" t="s">
        <v>1109</v>
      </c>
      <c r="F298" s="215" t="s">
        <v>765</v>
      </c>
      <c r="G298" s="215" t="s">
        <v>15640</v>
      </c>
      <c r="H298" s="216">
        <v>0</v>
      </c>
      <c r="I298" s="217" t="s">
        <v>1613</v>
      </c>
      <c r="J298" s="217" t="s">
        <v>7164</v>
      </c>
      <c r="K298" s="268"/>
      <c r="L298" s="268"/>
      <c r="M298" s="268"/>
      <c r="N298" s="268"/>
      <c r="O298" s="268"/>
      <c r="P298" s="218"/>
      <c r="Q298" s="269"/>
      <c r="R298" s="215" t="str">
        <f ca="1">IF(ISERROR($V298),"",OFFSET('Smelter Look-up'!$C$4,$V298-4,0)&amp;"")</f>
        <v>Ulba Metallurgical Plant JSC</v>
      </c>
      <c r="S298" s="222" t="str">
        <f t="shared" ca="1" si="42"/>
        <v>KZ</v>
      </c>
      <c r="T298" s="222" t="str">
        <f ca="1">IF(B298="","",IF(ISERROR(MATCH($J298,SorP!$B$1:$B$6230,0)),"",INDIRECT("'SorP'!$A$"&amp;MATCH($J298,SorP!$B$1:$B$6230,0))))</f>
        <v>KZ-KAR</v>
      </c>
      <c r="U298" s="238"/>
      <c r="V298" s="270">
        <f>IF(C298="",NA(),MATCH($B298&amp;$C298,'Smelter Look-up'!$J:$J,0))</f>
        <v>374</v>
      </c>
      <c r="W298" s="271"/>
      <c r="X298" s="271">
        <f t="shared" si="43"/>
        <v>0</v>
      </c>
      <c r="Y298" s="271"/>
      <c r="Z298" s="271"/>
      <c r="AB298" s="273" t="str">
        <f t="shared" si="44"/>
        <v>TantalumUlba Metallurgical Plant JSC</v>
      </c>
    </row>
    <row r="299" spans="1:28" s="272" customFormat="1" ht="49.2">
      <c r="A299" s="214" t="s">
        <v>1423</v>
      </c>
      <c r="B299" s="215" t="s">
        <v>1132</v>
      </c>
      <c r="C299" s="219" t="s">
        <v>1422</v>
      </c>
      <c r="D299" s="278"/>
      <c r="E299" s="215" t="s">
        <v>1108</v>
      </c>
      <c r="F299" s="215" t="s">
        <v>1423</v>
      </c>
      <c r="G299" s="215" t="s">
        <v>15640</v>
      </c>
      <c r="H299" s="216">
        <v>0</v>
      </c>
      <c r="I299" s="217" t="s">
        <v>1765</v>
      </c>
      <c r="J299" s="217" t="s">
        <v>1766</v>
      </c>
      <c r="K299" s="268"/>
      <c r="L299" s="268"/>
      <c r="M299" s="268"/>
      <c r="N299" s="268"/>
      <c r="O299" s="268"/>
      <c r="P299" s="218"/>
      <c r="Q299" s="269"/>
      <c r="R299" s="215" t="str">
        <f ca="1">IF(ISERROR($V299),"",OFFSET('Smelter Look-up'!$C$4,$V299-4,0)&amp;"")</f>
        <v>TANIOBIS Japan Co., Ltd.</v>
      </c>
      <c r="S299" s="222" t="str">
        <f t="shared" ca="1" si="42"/>
        <v>JP</v>
      </c>
      <c r="T299" s="222" t="str">
        <f ca="1">IF(B299="","",IF(ISERROR(MATCH($J299,SorP!$B$1:$B$6230,0)),"",INDIRECT("'SorP'!$A$"&amp;MATCH($J299,SorP!$B$1:$B$6230,0))))</f>
        <v>JP-08</v>
      </c>
      <c r="U299" s="238"/>
      <c r="V299" s="270">
        <f>IF(C299="",NA(),MATCH($B299&amp;$C299,'Smelter Look-up'!$J:$J,0))</f>
        <v>329</v>
      </c>
      <c r="W299" s="271"/>
      <c r="X299" s="271">
        <f t="shared" si="43"/>
        <v>0</v>
      </c>
      <c r="Y299" s="271"/>
      <c r="Z299" s="271"/>
      <c r="AB299" s="273" t="str">
        <f t="shared" si="44"/>
        <v>TantalumH.C. Starck Ltd.</v>
      </c>
    </row>
    <row r="300" spans="1:28" s="272" customFormat="1" ht="61.5">
      <c r="A300" s="214" t="s">
        <v>758</v>
      </c>
      <c r="B300" s="215" t="s">
        <v>1132</v>
      </c>
      <c r="C300" s="219" t="s">
        <v>48</v>
      </c>
      <c r="D300" s="278"/>
      <c r="E300" s="215" t="s">
        <v>1103</v>
      </c>
      <c r="F300" s="215" t="s">
        <v>758</v>
      </c>
      <c r="G300" s="215" t="s">
        <v>15640</v>
      </c>
      <c r="H300" s="216">
        <v>0</v>
      </c>
      <c r="I300" s="217" t="s">
        <v>1740</v>
      </c>
      <c r="J300" s="217" t="s">
        <v>1741</v>
      </c>
      <c r="K300" s="268"/>
      <c r="L300" s="268"/>
      <c r="M300" s="268"/>
      <c r="N300" s="268"/>
      <c r="O300" s="268"/>
      <c r="P300" s="218"/>
      <c r="Q300" s="269"/>
      <c r="R300" s="215" t="str">
        <f ca="1">IF(ISERROR($V300),"",OFFSET('Smelter Look-up'!$C$4,$V300-4,0)&amp;"")</f>
        <v>NPM Silmet AS</v>
      </c>
      <c r="S300" s="222" t="str">
        <f t="shared" ca="1" si="42"/>
        <v>EE</v>
      </c>
      <c r="T300" s="222" t="str">
        <f ca="1">IF(B300="","",IF(ISERROR(MATCH($J300,SorP!$B$1:$B$6230,0)),"",INDIRECT("'SorP'!$A$"&amp;MATCH($J300,SorP!$B$1:$B$6230,0))))</f>
        <v>EE-44</v>
      </c>
      <c r="U300" s="238"/>
      <c r="V300" s="270">
        <f>IF(C300="",NA(),MATCH($B300&amp;$C300,'Smelter Look-up'!$J:$J,0))</f>
        <v>350</v>
      </c>
      <c r="W300" s="271"/>
      <c r="X300" s="271">
        <f t="shared" si="43"/>
        <v>0</v>
      </c>
      <c r="Y300" s="271"/>
      <c r="Z300" s="271"/>
      <c r="AB300" s="273" t="str">
        <f t="shared" si="44"/>
        <v>TantalumMolycorp Silmet A.S.</v>
      </c>
    </row>
    <row r="301" spans="1:28" s="272" customFormat="1" ht="86.1">
      <c r="A301" s="214" t="s">
        <v>755</v>
      </c>
      <c r="B301" s="215" t="s">
        <v>1132</v>
      </c>
      <c r="C301" s="219" t="s">
        <v>1735</v>
      </c>
      <c r="D301" s="278"/>
      <c r="E301" s="215" t="s">
        <v>1106</v>
      </c>
      <c r="F301" s="215" t="s">
        <v>755</v>
      </c>
      <c r="G301" s="215" t="s">
        <v>15640</v>
      </c>
      <c r="H301" s="216">
        <v>0</v>
      </c>
      <c r="I301" s="217" t="s">
        <v>1733</v>
      </c>
      <c r="J301" s="217" t="s">
        <v>1734</v>
      </c>
      <c r="K301" s="268"/>
      <c r="L301" s="268"/>
      <c r="M301" s="268"/>
      <c r="N301" s="268"/>
      <c r="O301" s="268"/>
      <c r="P301" s="218"/>
      <c r="Q301" s="269"/>
      <c r="R301" s="215" t="str">
        <f ca="1">IF(ISERROR($V301),"",OFFSET('Smelter Look-up'!$C$4,$V301-4,0)&amp;"")</f>
        <v>Metallurgical Products India Pvt., Ltd.</v>
      </c>
      <c r="S301" s="222" t="str">
        <f t="shared" ca="1" si="42"/>
        <v>IN</v>
      </c>
      <c r="T301" s="222" t="str">
        <f ca="1">IF(B301="","",IF(ISERROR(MATCH($J301,SorP!$B$1:$B$6230,0)),"",INDIRECT("'SorP'!$A$"&amp;MATCH($J301,SorP!$B$1:$B$6230,0))))</f>
        <v>IN-MH</v>
      </c>
      <c r="U301" s="238"/>
      <c r="V301" s="270">
        <f>IF(C301="",NA(),MATCH($B301&amp;$C301,'Smelter Look-up'!$J:$J,0))</f>
        <v>343</v>
      </c>
      <c r="W301" s="271"/>
      <c r="X301" s="271">
        <f t="shared" si="43"/>
        <v>0</v>
      </c>
      <c r="Y301" s="271"/>
      <c r="Z301" s="271"/>
      <c r="AB301" s="273" t="str">
        <f t="shared" si="44"/>
        <v>TantalumMetallurgical Products India Pvt. Ltd. (MPIL)</v>
      </c>
    </row>
    <row r="302" spans="1:28" s="272" customFormat="1" ht="61.5">
      <c r="A302" s="214" t="s">
        <v>756</v>
      </c>
      <c r="B302" s="215" t="s">
        <v>1132</v>
      </c>
      <c r="C302" s="219" t="s">
        <v>1033</v>
      </c>
      <c r="D302" s="278"/>
      <c r="E302" s="215" t="s">
        <v>1096</v>
      </c>
      <c r="F302" s="215" t="s">
        <v>756</v>
      </c>
      <c r="G302" s="215" t="s">
        <v>15640</v>
      </c>
      <c r="H302" s="216">
        <v>0</v>
      </c>
      <c r="I302" s="217" t="s">
        <v>1736</v>
      </c>
      <c r="J302" s="217" t="s">
        <v>1737</v>
      </c>
      <c r="K302" s="268"/>
      <c r="L302" s="268"/>
      <c r="M302" s="268"/>
      <c r="N302" s="268"/>
      <c r="O302" s="268"/>
      <c r="P302" s="218"/>
      <c r="Q302" s="269"/>
      <c r="R302" s="215" t="str">
        <f ca="1">IF(ISERROR($V302),"",OFFSET('Smelter Look-up'!$C$4,$V302-4,0)&amp;"")</f>
        <v>Mineracao Taboca S.A.</v>
      </c>
      <c r="S302" s="222" t="str">
        <f t="shared" ca="1" si="42"/>
        <v>BR</v>
      </c>
      <c r="T302" s="222" t="str">
        <f ca="1">IF(B302="","",IF(ISERROR(MATCH($J302,SorP!$B$1:$B$6230,0)),"",INDIRECT("'SorP'!$A$"&amp;MATCH($J302,SorP!$B$1:$B$6230,0))))</f>
        <v>BR-AM</v>
      </c>
      <c r="U302" s="238"/>
      <c r="V302" s="270">
        <f>IF(C302="",NA(),MATCH($B302&amp;$C302,'Smelter Look-up'!$J:$J,0))</f>
        <v>346</v>
      </c>
      <c r="W302" s="271"/>
      <c r="X302" s="271">
        <f t="shared" si="43"/>
        <v>0</v>
      </c>
      <c r="Y302" s="271"/>
      <c r="Z302" s="271"/>
      <c r="AB302" s="273" t="str">
        <f t="shared" si="44"/>
        <v>TantalumMineração Taboca S.A.</v>
      </c>
    </row>
    <row r="303" spans="1:28" s="272" customFormat="1" ht="73.8">
      <c r="A303" s="214" t="s">
        <v>761</v>
      </c>
      <c r="B303" s="215" t="s">
        <v>1132</v>
      </c>
      <c r="C303" s="219" t="s">
        <v>2175</v>
      </c>
      <c r="D303" s="278"/>
      <c r="E303" s="215" t="s">
        <v>1100</v>
      </c>
      <c r="F303" s="215" t="s">
        <v>761</v>
      </c>
      <c r="G303" s="215" t="s">
        <v>15640</v>
      </c>
      <c r="H303" s="216">
        <v>0</v>
      </c>
      <c r="I303" s="217" t="s">
        <v>1744</v>
      </c>
      <c r="J303" s="217" t="s">
        <v>15643</v>
      </c>
      <c r="K303" s="268"/>
      <c r="L303" s="268"/>
      <c r="M303" s="268"/>
      <c r="N303" s="268"/>
      <c r="O303" s="268"/>
      <c r="P303" s="218"/>
      <c r="Q303" s="269"/>
      <c r="R303" s="215" t="str">
        <f ca="1">IF(ISERROR($V303),"",OFFSET('Smelter Look-up'!$C$4,$V303-4,0)&amp;"")</f>
        <v>Yanling Jincheng Tantalum &amp; Niobium Co., Ltd.</v>
      </c>
      <c r="S303" s="222" t="str">
        <f t="shared" ca="1" si="42"/>
        <v>CN</v>
      </c>
      <c r="T303" s="222" t="str">
        <f ca="1">IF(B303="","",IF(ISERROR(MATCH($J303,SorP!$B$1:$B$6230,0)),"",INDIRECT("'SorP'!$A$"&amp;MATCH($J303,SorP!$B$1:$B$6230,0))))</f>
        <v/>
      </c>
      <c r="U303" s="238"/>
      <c r="V303" s="270">
        <f>IF(C303="",NA(),MATCH($B303&amp;$C303,'Smelter Look-up'!$J:$J,0))</f>
        <v>362</v>
      </c>
      <c r="W303" s="271"/>
      <c r="X303" s="271">
        <f t="shared" si="43"/>
        <v>0</v>
      </c>
      <c r="Y303" s="271"/>
      <c r="Z303" s="271"/>
      <c r="AB303" s="273" t="str">
        <f t="shared" si="44"/>
        <v>TantalumRFH Tantalum Smeltry Co., Ltd.</v>
      </c>
    </row>
    <row r="304" spans="1:28" s="272" customFormat="1" ht="49.2">
      <c r="A304" s="214" t="s">
        <v>753</v>
      </c>
      <c r="B304" s="215" t="s">
        <v>1132</v>
      </c>
      <c r="C304" s="219" t="s">
        <v>46</v>
      </c>
      <c r="D304" s="278"/>
      <c r="E304" s="215" t="s">
        <v>1100</v>
      </c>
      <c r="F304" s="215" t="s">
        <v>753</v>
      </c>
      <c r="G304" s="215" t="s">
        <v>15640</v>
      </c>
      <c r="H304" s="216">
        <v>0</v>
      </c>
      <c r="I304" s="217" t="s">
        <v>1731</v>
      </c>
      <c r="J304" s="217" t="s">
        <v>15642</v>
      </c>
      <c r="K304" s="268"/>
      <c r="L304" s="268"/>
      <c r="M304" s="268"/>
      <c r="N304" s="268"/>
      <c r="O304" s="268"/>
      <c r="P304" s="218"/>
      <c r="Q304" s="269"/>
      <c r="R304" s="215" t="str">
        <f ca="1">IF(ISERROR($V304),"",OFFSET('Smelter Look-up'!$C$4,$V304-4,0)&amp;"")</f>
        <v>Jiujiang Tanbre Co., Ltd.</v>
      </c>
      <c r="S304" s="222" t="str">
        <f t="shared" ca="1" si="42"/>
        <v>CN</v>
      </c>
      <c r="T304" s="222" t="str">
        <f ca="1">IF(B304="","",IF(ISERROR(MATCH($J304,SorP!$B$1:$B$6230,0)),"",INDIRECT("'SorP'!$A$"&amp;MATCH($J304,SorP!$B$1:$B$6230,0))))</f>
        <v/>
      </c>
      <c r="U304" s="238"/>
      <c r="V304" s="270">
        <f>IF(C304="",NA(),MATCH($B304&amp;$C304,'Smelter Look-up'!$J:$J,0))</f>
        <v>337</v>
      </c>
      <c r="W304" s="271"/>
      <c r="X304" s="271">
        <f t="shared" si="43"/>
        <v>0</v>
      </c>
      <c r="Y304" s="271"/>
      <c r="Z304" s="271"/>
      <c r="AB304" s="273" t="str">
        <f t="shared" si="44"/>
        <v>TantalumJiujiang Tanbre Co., Ltd.</v>
      </c>
    </row>
    <row r="305" spans="1:28" s="272" customFormat="1" ht="61.5">
      <c r="A305" s="214" t="s">
        <v>1419</v>
      </c>
      <c r="B305" s="215" t="s">
        <v>1132</v>
      </c>
      <c r="C305" s="219" t="s">
        <v>1418</v>
      </c>
      <c r="D305" s="278"/>
      <c r="E305" s="215" t="s">
        <v>1101</v>
      </c>
      <c r="F305" s="215" t="s">
        <v>1419</v>
      </c>
      <c r="G305" s="215" t="s">
        <v>15640</v>
      </c>
      <c r="H305" s="216">
        <v>0</v>
      </c>
      <c r="I305" s="217" t="s">
        <v>1763</v>
      </c>
      <c r="J305" s="217" t="s">
        <v>4262</v>
      </c>
      <c r="K305" s="268"/>
      <c r="L305" s="268"/>
      <c r="M305" s="268"/>
      <c r="N305" s="268"/>
      <c r="O305" s="268"/>
      <c r="P305" s="218"/>
      <c r="Q305" s="269"/>
      <c r="R305" s="215" t="str">
        <f ca="1">IF(ISERROR($V305),"",OFFSET('Smelter Look-up'!$C$4,$V305-4,0)&amp;"")</f>
        <v>H.C. Starck Hermsdorf GmbH</v>
      </c>
      <c r="S305" s="222" t="str">
        <f t="shared" ca="1" si="42"/>
        <v>DE</v>
      </c>
      <c r="T305" s="222" t="str">
        <f ca="1">IF(B305="","",IF(ISERROR(MATCH($J305,SorP!$B$1:$B$6230,0)),"",INDIRECT("'SorP'!$A$"&amp;MATCH($J305,SorP!$B$1:$B$6230,0))))</f>
        <v>DE-TH</v>
      </c>
      <c r="U305" s="238"/>
      <c r="V305" s="270">
        <f>IF(C305="",NA(),MATCH($B305&amp;$C305,'Smelter Look-up'!$J:$J,0))</f>
        <v>327</v>
      </c>
      <c r="W305" s="271"/>
      <c r="X305" s="271">
        <f t="shared" si="43"/>
        <v>0</v>
      </c>
      <c r="Y305" s="271"/>
      <c r="Z305" s="271"/>
      <c r="AB305" s="273" t="str">
        <f t="shared" si="44"/>
        <v>TantalumH.C. Starck Hermsdorf GmbH</v>
      </c>
    </row>
    <row r="306" spans="1:28" s="272" customFormat="1" ht="98.4">
      <c r="A306" s="214" t="s">
        <v>1400</v>
      </c>
      <c r="B306" s="215" t="s">
        <v>1132</v>
      </c>
      <c r="C306" s="219" t="s">
        <v>2187</v>
      </c>
      <c r="D306" s="278"/>
      <c r="E306" s="215" t="s">
        <v>1100</v>
      </c>
      <c r="F306" s="215" t="s">
        <v>1400</v>
      </c>
      <c r="G306" s="215" t="s">
        <v>15640</v>
      </c>
      <c r="H306" s="216">
        <v>0</v>
      </c>
      <c r="I306" s="217" t="s">
        <v>1755</v>
      </c>
      <c r="J306" s="217" t="s">
        <v>15431</v>
      </c>
      <c r="K306" s="268"/>
      <c r="L306" s="268"/>
      <c r="M306" s="268"/>
      <c r="N306" s="268"/>
      <c r="O306" s="268"/>
      <c r="P306" s="218"/>
      <c r="Q306" s="269"/>
      <c r="R306" s="215" t="str">
        <f ca="1">IF(ISERROR($V306),"",OFFSET('Smelter Look-up'!$C$4,$V306-4,0)&amp;"")</f>
        <v>XinXing HaoRong Electronic Material Co., Ltd.</v>
      </c>
      <c r="S306" s="222" t="str">
        <f t="shared" ca="1" si="42"/>
        <v>CN</v>
      </c>
      <c r="T306" s="222" t="str">
        <f ca="1">IF(B306="","",IF(ISERROR(MATCH($J306,SorP!$B$1:$B$6230,0)),"",INDIRECT("'SorP'!$A$"&amp;MATCH($J306,SorP!$B$1:$B$6230,0))))</f>
        <v/>
      </c>
      <c r="U306" s="238"/>
      <c r="V306" s="270">
        <f>IF(C306="",NA(),MATCH($B306&amp;$C306,'Smelter Look-up'!$J:$J,0))</f>
        <v>376</v>
      </c>
      <c r="W306" s="271"/>
      <c r="X306" s="271">
        <f t="shared" si="43"/>
        <v>0</v>
      </c>
      <c r="Y306" s="271"/>
      <c r="Z306" s="271"/>
      <c r="AB306" s="273" t="str">
        <f t="shared" si="44"/>
        <v>TantalumXinXing HaoRong Electronic Material Co., Ltd.</v>
      </c>
    </row>
    <row r="307" spans="1:28" s="272" customFormat="1" ht="86.1">
      <c r="A307" s="214" t="s">
        <v>15645</v>
      </c>
      <c r="B307" s="215" t="s">
        <v>1132</v>
      </c>
      <c r="C307" s="219" t="s">
        <v>15646</v>
      </c>
      <c r="D307" s="278"/>
      <c r="E307" s="215" t="s">
        <v>1100</v>
      </c>
      <c r="F307" s="215" t="s">
        <v>15645</v>
      </c>
      <c r="G307" s="215" t="s">
        <v>15640</v>
      </c>
      <c r="H307" s="216">
        <v>0</v>
      </c>
      <c r="I307" s="217" t="s">
        <v>15647</v>
      </c>
      <c r="J307" s="217" t="s">
        <v>15431</v>
      </c>
      <c r="K307" s="268"/>
      <c r="L307" s="268"/>
      <c r="M307" s="268"/>
      <c r="N307" s="268"/>
      <c r="O307" s="268"/>
      <c r="P307" s="218"/>
      <c r="Q307" s="269"/>
      <c r="R307" s="215" t="str">
        <f ca="1">IF(ISERROR($V307),"",OFFSET('Smelter Look-up'!$C$4,$V307-4,0)&amp;"")</f>
        <v/>
      </c>
      <c r="S307" s="222" t="str">
        <f t="shared" ca="1" si="42"/>
        <v>CN</v>
      </c>
      <c r="T307" s="222" t="str">
        <f ca="1">IF(B307="","",IF(ISERROR(MATCH($J307,SorP!$B$1:$B$6230,0)),"",INDIRECT("'SorP'!$A$"&amp;MATCH($J307,SorP!$B$1:$B$6230,0))))</f>
        <v/>
      </c>
      <c r="U307" s="238"/>
      <c r="V307" s="270" t="e">
        <f>IF(C307="",NA(),MATCH($B307&amp;$C307,'Smelter Look-up'!$J:$J,0))</f>
        <v>#N/A</v>
      </c>
      <c r="W307" s="271"/>
      <c r="X307" s="271">
        <f t="shared" si="43"/>
        <v>0</v>
      </c>
      <c r="Y307" s="271"/>
      <c r="Z307" s="271"/>
      <c r="AB307" s="273" t="str">
        <f t="shared" si="44"/>
        <v>TantalumConghua Tantalum and Niobium Smeltry</v>
      </c>
    </row>
    <row r="308" spans="1:28" s="272" customFormat="1" ht="86.1">
      <c r="A308" s="214" t="s">
        <v>759</v>
      </c>
      <c r="B308" s="215" t="s">
        <v>1132</v>
      </c>
      <c r="C308" s="219" t="s">
        <v>1030</v>
      </c>
      <c r="D308" s="278"/>
      <c r="E308" s="215" t="s">
        <v>1100</v>
      </c>
      <c r="F308" s="215" t="s">
        <v>759</v>
      </c>
      <c r="G308" s="215" t="s">
        <v>15640</v>
      </c>
      <c r="H308" s="216">
        <v>0</v>
      </c>
      <c r="I308" s="217" t="s">
        <v>1742</v>
      </c>
      <c r="J308" s="217" t="s">
        <v>15648</v>
      </c>
      <c r="K308" s="268"/>
      <c r="L308" s="268"/>
      <c r="M308" s="268"/>
      <c r="N308" s="268"/>
      <c r="O308" s="268"/>
      <c r="P308" s="218"/>
      <c r="Q308" s="269"/>
      <c r="R308" s="215" t="str">
        <f ca="1">IF(ISERROR($V308),"",OFFSET('Smelter Look-up'!$C$4,$V308-4,0)&amp;"")</f>
        <v>Ningxia Orient Tantalum Industry Co., Ltd.</v>
      </c>
      <c r="S308" s="222" t="str">
        <f t="shared" ca="1" si="42"/>
        <v>CN</v>
      </c>
      <c r="T308" s="222" t="str">
        <f ca="1">IF(B308="","",IF(ISERROR(MATCH($J308,SorP!$B$1:$B$6230,0)),"",INDIRECT("'SorP'!$A$"&amp;MATCH($J308,SorP!$B$1:$B$6230,0))))</f>
        <v/>
      </c>
      <c r="U308" s="238"/>
      <c r="V308" s="270">
        <f>IF(C308="",NA(),MATCH($B308&amp;$C308,'Smelter Look-up'!$J:$J,0))</f>
        <v>352</v>
      </c>
      <c r="W308" s="271"/>
      <c r="X308" s="271">
        <f t="shared" si="43"/>
        <v>0</v>
      </c>
      <c r="Y308" s="271"/>
      <c r="Z308" s="271"/>
      <c r="AB308" s="273" t="str">
        <f t="shared" si="44"/>
        <v>TantalumNingxia Orient Tantalum Industry Co., Ltd.</v>
      </c>
    </row>
    <row r="309" spans="1:28" s="272" customFormat="1" ht="49.2">
      <c r="A309" s="214" t="s">
        <v>1426</v>
      </c>
      <c r="B309" s="215" t="s">
        <v>1132</v>
      </c>
      <c r="C309" s="219" t="s">
        <v>1425</v>
      </c>
      <c r="D309" s="278"/>
      <c r="E309" s="215" t="s">
        <v>1113</v>
      </c>
      <c r="F309" s="215" t="s">
        <v>1426</v>
      </c>
      <c r="G309" s="215" t="s">
        <v>15640</v>
      </c>
      <c r="H309" s="216">
        <v>0</v>
      </c>
      <c r="I309" s="217" t="s">
        <v>1757</v>
      </c>
      <c r="J309" s="217" t="s">
        <v>1758</v>
      </c>
      <c r="K309" s="268"/>
      <c r="L309" s="268"/>
      <c r="M309" s="268"/>
      <c r="N309" s="268"/>
      <c r="O309" s="268"/>
      <c r="P309" s="218"/>
      <c r="Q309" s="269"/>
      <c r="R309" s="215" t="str">
        <f ca="1">IF(ISERROR($V309),"",OFFSET('Smelter Look-up'!$C$4,$V309-4,0)&amp;"")</f>
        <v>KEMET de Mexico</v>
      </c>
      <c r="S309" s="222" t="str">
        <f t="shared" ca="1" si="42"/>
        <v>MX</v>
      </c>
      <c r="T309" s="222" t="str">
        <f ca="1">IF(B309="","",IF(ISERROR(MATCH($J309,SorP!$B$1:$B$6230,0)),"",INDIRECT("'SorP'!$A$"&amp;MATCH($J309,SorP!$B$1:$B$6230,0))))</f>
        <v>MX-TAM</v>
      </c>
      <c r="U309" s="238"/>
      <c r="V309" s="270">
        <f>IF(C309="",NA(),MATCH($B309&amp;$C309,'Smelter Look-up'!$J:$J,0))</f>
        <v>339</v>
      </c>
      <c r="W309" s="271"/>
      <c r="X309" s="271">
        <f t="shared" si="43"/>
        <v>0</v>
      </c>
      <c r="Y309" s="271"/>
      <c r="Z309" s="271"/>
      <c r="AB309" s="273" t="str">
        <f t="shared" si="44"/>
        <v>TantalumKEMET Blue Metals</v>
      </c>
    </row>
    <row r="310" spans="1:28" s="272" customFormat="1" ht="86.1">
      <c r="A310" s="214" t="s">
        <v>1417</v>
      </c>
      <c r="B310" s="215" t="s">
        <v>1132</v>
      </c>
      <c r="C310" s="219" t="s">
        <v>2558</v>
      </c>
      <c r="D310" s="278"/>
      <c r="E310" s="215" t="s">
        <v>1101</v>
      </c>
      <c r="F310" s="215" t="s">
        <v>1417</v>
      </c>
      <c r="G310" s="215" t="s">
        <v>15640</v>
      </c>
      <c r="H310" s="216">
        <v>0</v>
      </c>
      <c r="I310" s="217" t="s">
        <v>1761</v>
      </c>
      <c r="J310" s="217" t="s">
        <v>4284</v>
      </c>
      <c r="K310" s="268"/>
      <c r="L310" s="268"/>
      <c r="M310" s="268"/>
      <c r="N310" s="268"/>
      <c r="O310" s="268"/>
      <c r="P310" s="218"/>
      <c r="Q310" s="269"/>
      <c r="R310" s="215" t="str">
        <f ca="1">IF(ISERROR($V310),"",OFFSET('Smelter Look-up'!$C$4,$V310-4,0)&amp;"")</f>
        <v>TANIOBIS GmbH</v>
      </c>
      <c r="S310" s="222" t="str">
        <f t="shared" ca="1" si="42"/>
        <v>DE</v>
      </c>
      <c r="T310" s="222" t="str">
        <f ca="1">IF(B310="","",IF(ISERROR(MATCH($J310,SorP!$B$1:$B$6230,0)),"",INDIRECT("'SorP'!$A$"&amp;MATCH($J310,SorP!$B$1:$B$6230,0))))</f>
        <v>DE-NI</v>
      </c>
      <c r="U310" s="238"/>
      <c r="V310" s="270">
        <f>IF(C310="",NA(),MATCH($B310&amp;$C310,'Smelter Look-up'!$J:$J,0))</f>
        <v>331</v>
      </c>
      <c r="W310" s="271"/>
      <c r="X310" s="271">
        <f t="shared" si="43"/>
        <v>0</v>
      </c>
      <c r="Y310" s="271"/>
      <c r="Z310" s="271"/>
      <c r="AB310" s="273" t="str">
        <f t="shared" si="44"/>
        <v>TantalumH.C. Starck Tantalum and Niobium GmbH</v>
      </c>
    </row>
    <row r="311" spans="1:28" s="272" customFormat="1" ht="19.8">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19.8">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19.8">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19.8">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19.8">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19.8">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19.8">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19.8">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19.8">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19.8">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2"/>
        <v/>
      </c>
      <c r="T320" s="222" t="str">
        <f ca="1">IF(B320="","",IF(ISERROR(MATCH($J320,SorP!$B$1:$B$6230,0)),"",INDIRECT("'SorP'!$A$"&amp;MATCH($J320,SorP!$B$1:$B$6230,0))))</f>
        <v/>
      </c>
      <c r="U320" s="238"/>
      <c r="V320" s="270" t="e">
        <f>IF(C320="",NA(),MATCH($B320&amp;$C320,'Smelter Look-up'!$J:$J,0))</f>
        <v>#N/A</v>
      </c>
      <c r="W320" s="271"/>
      <c r="X320" s="271">
        <f t="shared" ca="1" si="43"/>
        <v>0</v>
      </c>
      <c r="Y320" s="271"/>
      <c r="Z320" s="271"/>
      <c r="AB320" s="273" t="str">
        <f t="shared" si="44"/>
        <v/>
      </c>
    </row>
    <row r="321" spans="1:28" s="272" customFormat="1" ht="19.8">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2"/>
        <v/>
      </c>
      <c r="T321" s="222" t="str">
        <f ca="1">IF(B321="","",IF(ISERROR(MATCH($J321,SorP!$B$1:$B$6230,0)),"",INDIRECT("'SorP'!$A$"&amp;MATCH($J321,SorP!$B$1:$B$6230,0))))</f>
        <v/>
      </c>
      <c r="U321" s="238"/>
      <c r="V321" s="270" t="e">
        <f>IF(C321="",NA(),MATCH($B321&amp;$C321,'Smelter Look-up'!$J:$J,0))</f>
        <v>#N/A</v>
      </c>
      <c r="W321" s="271"/>
      <c r="X321" s="271">
        <f t="shared" ca="1" si="43"/>
        <v>0</v>
      </c>
      <c r="Y321" s="271"/>
      <c r="Z321" s="271"/>
      <c r="AB321" s="273" t="str">
        <f t="shared" si="44"/>
        <v/>
      </c>
    </row>
    <row r="322" spans="1:28" s="272" customFormat="1" ht="19.8">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2"/>
        <v/>
      </c>
      <c r="T322" s="222" t="str">
        <f ca="1">IF(B322="","",IF(ISERROR(MATCH($J322,SorP!$B$1:$B$6230,0)),"",INDIRECT("'SorP'!$A$"&amp;MATCH($J322,SorP!$B$1:$B$6230,0))))</f>
        <v/>
      </c>
      <c r="U322" s="238"/>
      <c r="V322" s="270" t="e">
        <f>IF(C322="",NA(),MATCH($B322&amp;$C322,'Smelter Look-up'!$J:$J,0))</f>
        <v>#N/A</v>
      </c>
      <c r="W322" s="271"/>
      <c r="X322" s="271">
        <f t="shared" ca="1" si="43"/>
        <v>0</v>
      </c>
      <c r="Y322" s="271"/>
      <c r="Z322" s="271"/>
      <c r="AB322" s="273" t="str">
        <f t="shared" si="44"/>
        <v/>
      </c>
    </row>
    <row r="323" spans="1:28" s="272" customFormat="1" ht="19.8">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2"/>
        <v/>
      </c>
      <c r="T323" s="222" t="str">
        <f ca="1">IF(B323="","",IF(ISERROR(MATCH($J323,SorP!$B$1:$B$6230,0)),"",INDIRECT("'SorP'!$A$"&amp;MATCH($J323,SorP!$B$1:$B$6230,0))))</f>
        <v/>
      </c>
      <c r="U323" s="238"/>
      <c r="V323" s="270" t="e">
        <f>IF(C323="",NA(),MATCH($B323&amp;$C323,'Smelter Look-up'!$J:$J,0))</f>
        <v>#N/A</v>
      </c>
      <c r="W323" s="271"/>
      <c r="X323" s="271">
        <f t="shared" ca="1" si="43"/>
        <v>0</v>
      </c>
      <c r="Y323" s="271"/>
      <c r="Z323" s="271"/>
      <c r="AB323" s="273" t="str">
        <f t="shared" si="44"/>
        <v/>
      </c>
    </row>
    <row r="324" spans="1:28" s="272" customFormat="1" ht="19.8">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2"/>
        <v/>
      </c>
      <c r="T324" s="222" t="str">
        <f ca="1">IF(B324="","",IF(ISERROR(MATCH($J324,SorP!$B$1:$B$6230,0)),"",INDIRECT("'SorP'!$A$"&amp;MATCH($J324,SorP!$B$1:$B$6230,0))))</f>
        <v/>
      </c>
      <c r="U324" s="238"/>
      <c r="V324" s="270" t="e">
        <f>IF(C324="",NA(),MATCH($B324&amp;$C324,'Smelter Look-up'!$J:$J,0))</f>
        <v>#N/A</v>
      </c>
      <c r="W324" s="271"/>
      <c r="X324" s="271">
        <f t="shared" ca="1" si="43"/>
        <v>0</v>
      </c>
      <c r="Y324" s="271"/>
      <c r="Z324" s="271"/>
      <c r="AB324" s="273" t="str">
        <f t="shared" si="44"/>
        <v/>
      </c>
    </row>
    <row r="325" spans="1:28" s="272" customFormat="1" ht="19.8">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ref="S325" ca="1" si="45">IF(B325="","",IF(ISERROR(MATCH($E325,CL,0)),"Unknown",INDIRECT("'C'!$A$"&amp;MATCH($E325,CL,0)+1)))</f>
        <v/>
      </c>
      <c r="T325" s="222" t="str">
        <f ca="1">IF(B325="","",IF(ISERROR(MATCH($J325,SorP!$B$1:$B$6230,0)),"",INDIRECT("'SorP'!$A$"&amp;MATCH($J325,SorP!$B$1:$B$6230,0))))</f>
        <v/>
      </c>
      <c r="U325" s="238"/>
      <c r="V325" s="270" t="e">
        <f>IF(C325="",NA(),MATCH($B325&amp;$C325,'Smelter Look-up'!$J:$J,0))</f>
        <v>#N/A</v>
      </c>
      <c r="W325" s="271"/>
      <c r="X325" s="271">
        <f t="shared" ref="X325" ca="1" si="46">IF(AND(C325="Smelter not listed",OR(LEN(D325)=0,LEN(E325)=0)),1,0)</f>
        <v>0</v>
      </c>
      <c r="Y325" s="271"/>
      <c r="Z325" s="271"/>
      <c r="AB325" s="273" t="str">
        <f t="shared" ref="AB325" si="47">B325&amp;C325</f>
        <v/>
      </c>
    </row>
    <row r="326" spans="1:28" s="272" customFormat="1" ht="19.8">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ref="S326:S357" ca="1" si="48">IF(B326="","",IF(ISERROR(MATCH($E326,CL,0)),"Unknown",INDIRECT("'C'!$A$"&amp;MATCH($E326,CL,0)+1)))</f>
        <v/>
      </c>
      <c r="T326" s="222" t="str">
        <f ca="1">IF(B326="","",IF(ISERROR(MATCH($J326,SorP!$B$1:$B$6230,0)),"",INDIRECT("'SorP'!$A$"&amp;MATCH($J326,SorP!$B$1:$B$6230,0))))</f>
        <v/>
      </c>
      <c r="U326" s="238"/>
      <c r="V326" s="270" t="e">
        <f>IF(C326="",NA(),MATCH($B326&amp;$C326,'Smelter Look-up'!$J:$J,0))</f>
        <v>#N/A</v>
      </c>
      <c r="W326" s="271"/>
      <c r="X326" s="271">
        <f t="shared" ref="X326:X357" ca="1" si="49">IF(AND(C326="Smelter not listed",OR(LEN(D326)=0,LEN(E326)=0)),1,0)</f>
        <v>0</v>
      </c>
      <c r="Y326" s="271"/>
      <c r="Z326" s="271"/>
      <c r="AB326" s="273" t="str">
        <f t="shared" ref="AB326:AB357" si="50">B326&amp;C326</f>
        <v/>
      </c>
    </row>
    <row r="327" spans="1:28" s="272" customFormat="1" ht="19.8">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19.8">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19.8">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19.8">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19.8">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19.8">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19.8">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19.8">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19.8">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19.8">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19.8">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19.8">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19.8">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19.8">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19.8">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19.8">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19.8">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19.8">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19.8">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19.8">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19.8">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19.8">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19.8">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19.8">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19.8">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19.8">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19.8">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19.8">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48"/>
        <v/>
      </c>
      <c r="T354" s="222" t="str">
        <f ca="1">IF(B354="","",IF(ISERROR(MATCH($J354,SorP!$B$1:$B$6230,0)),"",INDIRECT("'SorP'!$A$"&amp;MATCH($J354,SorP!$B$1:$B$6230,0))))</f>
        <v/>
      </c>
      <c r="U354" s="238"/>
      <c r="V354" s="270" t="e">
        <f>IF(C354="",NA(),MATCH($B354&amp;$C354,'Smelter Look-up'!$J:$J,0))</f>
        <v>#N/A</v>
      </c>
      <c r="W354" s="271"/>
      <c r="X354" s="271">
        <f t="shared" ca="1" si="49"/>
        <v>0</v>
      </c>
      <c r="Y354" s="271"/>
      <c r="Z354" s="271"/>
      <c r="AB354" s="273" t="str">
        <f t="shared" si="50"/>
        <v/>
      </c>
    </row>
    <row r="355" spans="1:28" s="272" customFormat="1" ht="19.8">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48"/>
        <v/>
      </c>
      <c r="T355" s="222" t="str">
        <f ca="1">IF(B355="","",IF(ISERROR(MATCH($J355,SorP!$B$1:$B$6230,0)),"",INDIRECT("'SorP'!$A$"&amp;MATCH($J355,SorP!$B$1:$B$6230,0))))</f>
        <v/>
      </c>
      <c r="U355" s="238"/>
      <c r="V355" s="270" t="e">
        <f>IF(C355="",NA(),MATCH($B355&amp;$C355,'Smelter Look-up'!$J:$J,0))</f>
        <v>#N/A</v>
      </c>
      <c r="W355" s="271"/>
      <c r="X355" s="271">
        <f t="shared" ca="1" si="49"/>
        <v>0</v>
      </c>
      <c r="Y355" s="271"/>
      <c r="Z355" s="271"/>
      <c r="AB355" s="273" t="str">
        <f t="shared" si="50"/>
        <v/>
      </c>
    </row>
    <row r="356" spans="1:28" s="272" customFormat="1" ht="19.8">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48"/>
        <v/>
      </c>
      <c r="T356" s="222" t="str">
        <f ca="1">IF(B356="","",IF(ISERROR(MATCH($J356,SorP!$B$1:$B$6230,0)),"",INDIRECT("'SorP'!$A$"&amp;MATCH($J356,SorP!$B$1:$B$6230,0))))</f>
        <v/>
      </c>
      <c r="U356" s="238"/>
      <c r="V356" s="270" t="e">
        <f>IF(C356="",NA(),MATCH($B356&amp;$C356,'Smelter Look-up'!$J:$J,0))</f>
        <v>#N/A</v>
      </c>
      <c r="W356" s="271"/>
      <c r="X356" s="271">
        <f t="shared" ca="1" si="49"/>
        <v>0</v>
      </c>
      <c r="Y356" s="271"/>
      <c r="Z356" s="271"/>
      <c r="AB356" s="273" t="str">
        <f t="shared" si="50"/>
        <v/>
      </c>
    </row>
    <row r="357" spans="1:28" s="272" customFormat="1" ht="19.8">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48"/>
        <v/>
      </c>
      <c r="T357" s="222" t="str">
        <f ca="1">IF(B357="","",IF(ISERROR(MATCH($J357,SorP!$B$1:$B$6230,0)),"",INDIRECT("'SorP'!$A$"&amp;MATCH($J357,SorP!$B$1:$B$6230,0))))</f>
        <v/>
      </c>
      <c r="U357" s="238"/>
      <c r="V357" s="270" t="e">
        <f>IF(C357="",NA(),MATCH($B357&amp;$C357,'Smelter Look-up'!$J:$J,0))</f>
        <v>#N/A</v>
      </c>
      <c r="W357" s="271"/>
      <c r="X357" s="271">
        <f t="shared" ca="1" si="49"/>
        <v>0</v>
      </c>
      <c r="Y357" s="271"/>
      <c r="Z357" s="271"/>
      <c r="AB357" s="273" t="str">
        <f t="shared" si="50"/>
        <v/>
      </c>
    </row>
    <row r="358" spans="1:28" s="272" customFormat="1" ht="19.8">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70" t="e">
        <f>IF(C358="",NA(),MATCH($B358&amp;$C358,'Smelter Look-up'!$J:$J,0))</f>
        <v>#N/A</v>
      </c>
      <c r="W358" s="271"/>
      <c r="X358" s="271">
        <f t="shared" ref="X358:X388" ca="1" si="52">IF(AND(C358="Smelter not listed",OR(LEN(D358)=0,LEN(E358)=0)),1,0)</f>
        <v>0</v>
      </c>
      <c r="Y358" s="271"/>
      <c r="Z358" s="271"/>
      <c r="AB358" s="273" t="str">
        <f t="shared" ref="AB358:AB388" si="53">B358&amp;C358</f>
        <v/>
      </c>
    </row>
    <row r="359" spans="1:28" s="272" customFormat="1" ht="19.8">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19.8">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19.8">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19.8">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19.8">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19.8">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19.8">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19.8">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19.8">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19.8">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19.8">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19.8">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19.8">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19.8">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19.8">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19.8">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19.8">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19.8">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19.8">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19.8">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19.8">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19.8">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19.8">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19.8">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19.8">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19.8">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19.8">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1"/>
        <v/>
      </c>
      <c r="T385" s="222" t="str">
        <f ca="1">IF(B385="","",IF(ISERROR(MATCH($J385,SorP!$B$1:$B$6230,0)),"",INDIRECT("'SorP'!$A$"&amp;MATCH($J385,SorP!$B$1:$B$6230,0))))</f>
        <v/>
      </c>
      <c r="U385" s="238"/>
      <c r="V385" s="270" t="e">
        <f>IF(C385="",NA(),MATCH($B385&amp;$C385,'Smelter Look-up'!$J:$J,0))</f>
        <v>#N/A</v>
      </c>
      <c r="W385" s="271"/>
      <c r="X385" s="271">
        <f t="shared" ca="1" si="52"/>
        <v>0</v>
      </c>
      <c r="Y385" s="271"/>
      <c r="Z385" s="271"/>
      <c r="AB385" s="273" t="str">
        <f t="shared" si="53"/>
        <v/>
      </c>
    </row>
    <row r="386" spans="1:28" s="272" customFormat="1" ht="19.8">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1"/>
        <v/>
      </c>
      <c r="T386" s="222" t="str">
        <f ca="1">IF(B386="","",IF(ISERROR(MATCH($J386,SorP!$B$1:$B$6230,0)),"",INDIRECT("'SorP'!$A$"&amp;MATCH($J386,SorP!$B$1:$B$6230,0))))</f>
        <v/>
      </c>
      <c r="U386" s="238"/>
      <c r="V386" s="270" t="e">
        <f>IF(C386="",NA(),MATCH($B386&amp;$C386,'Smelter Look-up'!$J:$J,0))</f>
        <v>#N/A</v>
      </c>
      <c r="W386" s="271"/>
      <c r="X386" s="271">
        <f t="shared" ca="1" si="52"/>
        <v>0</v>
      </c>
      <c r="Y386" s="271"/>
      <c r="Z386" s="271"/>
      <c r="AB386" s="273" t="str">
        <f t="shared" si="53"/>
        <v/>
      </c>
    </row>
    <row r="387" spans="1:28" s="272" customFormat="1" ht="19.8">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1"/>
        <v/>
      </c>
      <c r="T387" s="222" t="str">
        <f ca="1">IF(B387="","",IF(ISERROR(MATCH($J387,SorP!$B$1:$B$6230,0)),"",INDIRECT("'SorP'!$A$"&amp;MATCH($J387,SorP!$B$1:$B$6230,0))))</f>
        <v/>
      </c>
      <c r="U387" s="238"/>
      <c r="V387" s="270" t="e">
        <f>IF(C387="",NA(),MATCH($B387&amp;$C387,'Smelter Look-up'!$J:$J,0))</f>
        <v>#N/A</v>
      </c>
      <c r="W387" s="271"/>
      <c r="X387" s="271">
        <f t="shared" ca="1" si="52"/>
        <v>0</v>
      </c>
      <c r="Y387" s="271"/>
      <c r="Z387" s="271"/>
      <c r="AB387" s="273" t="str">
        <f t="shared" si="53"/>
        <v/>
      </c>
    </row>
    <row r="388" spans="1:28" s="272" customFormat="1" ht="19.8">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1"/>
        <v/>
      </c>
      <c r="T388" s="222" t="str">
        <f ca="1">IF(B388="","",IF(ISERROR(MATCH($J388,SorP!$B$1:$B$6230,0)),"",INDIRECT("'SorP'!$A$"&amp;MATCH($J388,SorP!$B$1:$B$6230,0))))</f>
        <v/>
      </c>
      <c r="U388" s="238"/>
      <c r="V388" s="270" t="e">
        <f>IF(C388="",NA(),MATCH($B388&amp;$C388,'Smelter Look-up'!$J:$J,0))</f>
        <v>#N/A</v>
      </c>
      <c r="W388" s="271"/>
      <c r="X388" s="271">
        <f t="shared" ca="1" si="52"/>
        <v>0</v>
      </c>
      <c r="Y388" s="271"/>
      <c r="Z388" s="271"/>
      <c r="AB388" s="273" t="str">
        <f t="shared" si="53"/>
        <v/>
      </c>
    </row>
    <row r="389" spans="1:28" s="272" customFormat="1" ht="19.8">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70" t="e">
        <f>IF(C389="",NA(),MATCH($B389&amp;$C389,'Smelter Look-up'!$J:$J,0))</f>
        <v>#N/A</v>
      </c>
      <c r="W389" s="271"/>
      <c r="X389" s="271">
        <f t="shared" ref="X389" ca="1" si="55">IF(AND(C389="Smelter not listed",OR(LEN(D389)=0,LEN(E389)=0)),1,0)</f>
        <v>0</v>
      </c>
      <c r="Y389" s="271"/>
      <c r="Z389" s="271"/>
      <c r="AB389" s="273" t="str">
        <f t="shared" ref="AB389" si="56">B389&amp;C389</f>
        <v/>
      </c>
    </row>
    <row r="390" spans="1:28" s="272" customFormat="1" ht="19.8">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58">IF(AND(C390="Smelter not listed",OR(LEN(D390)=0,LEN(E390)=0)),1,0)</f>
        <v>0</v>
      </c>
      <c r="Y390" s="271"/>
      <c r="Z390" s="271"/>
      <c r="AB390" s="273" t="str">
        <f t="shared" ref="AB390:AB421" si="59">B390&amp;C390</f>
        <v/>
      </c>
    </row>
    <row r="391" spans="1:28" s="272" customFormat="1" ht="19.8">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19.8">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19.8">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19.8">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19.8">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19.8">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19.8">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19.8">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19.8">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19.8">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19.8">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19.8">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19.8">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19.8">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19.8">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19.8">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19.8">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19.8">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19.8">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19.8">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19.8">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19.8">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19.8">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19.8">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19.8">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19.8">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19.8">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19.8">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19.8">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7"/>
        <v/>
      </c>
      <c r="T419" s="222" t="str">
        <f ca="1">IF(B419="","",IF(ISERROR(MATCH($J419,SorP!$B$1:$B$6230,0)),"",INDIRECT("'SorP'!$A$"&amp;MATCH($J419,SorP!$B$1:$B$6230,0))))</f>
        <v/>
      </c>
      <c r="U419" s="238"/>
      <c r="V419" s="270" t="e">
        <f>IF(C419="",NA(),MATCH($B419&amp;$C419,'Smelter Look-up'!$J:$J,0))</f>
        <v>#N/A</v>
      </c>
      <c r="W419" s="271"/>
      <c r="X419" s="271">
        <f t="shared" ca="1" si="58"/>
        <v>0</v>
      </c>
      <c r="Y419" s="271"/>
      <c r="Z419" s="271"/>
      <c r="AB419" s="273" t="str">
        <f t="shared" si="59"/>
        <v/>
      </c>
    </row>
    <row r="420" spans="1:28" s="272" customFormat="1" ht="19.8">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57"/>
        <v/>
      </c>
      <c r="T420" s="222" t="str">
        <f ca="1">IF(B420="","",IF(ISERROR(MATCH($J420,SorP!$B$1:$B$6230,0)),"",INDIRECT("'SorP'!$A$"&amp;MATCH($J420,SorP!$B$1:$B$6230,0))))</f>
        <v/>
      </c>
      <c r="U420" s="238"/>
      <c r="V420" s="270" t="e">
        <f>IF(C420="",NA(),MATCH($B420&amp;$C420,'Smelter Look-up'!$J:$J,0))</f>
        <v>#N/A</v>
      </c>
      <c r="W420" s="271"/>
      <c r="X420" s="271">
        <f t="shared" ca="1" si="58"/>
        <v>0</v>
      </c>
      <c r="Y420" s="271"/>
      <c r="Z420" s="271"/>
      <c r="AB420" s="273" t="str">
        <f t="shared" si="59"/>
        <v/>
      </c>
    </row>
    <row r="421" spans="1:28" s="272" customFormat="1" ht="19.8">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57"/>
        <v/>
      </c>
      <c r="T421" s="222" t="str">
        <f ca="1">IF(B421="","",IF(ISERROR(MATCH($J421,SorP!$B$1:$B$6230,0)),"",INDIRECT("'SorP'!$A$"&amp;MATCH($J421,SorP!$B$1:$B$6230,0))))</f>
        <v/>
      </c>
      <c r="U421" s="238"/>
      <c r="V421" s="270" t="e">
        <f>IF(C421="",NA(),MATCH($B421&amp;$C421,'Smelter Look-up'!$J:$J,0))</f>
        <v>#N/A</v>
      </c>
      <c r="W421" s="271"/>
      <c r="X421" s="271">
        <f t="shared" ca="1" si="58"/>
        <v>0</v>
      </c>
      <c r="Y421" s="271"/>
      <c r="Z421" s="271"/>
      <c r="AB421" s="273" t="str">
        <f t="shared" si="59"/>
        <v/>
      </c>
    </row>
    <row r="422" spans="1:28" s="272" customFormat="1" ht="19.8">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61">IF(AND(C422="Smelter not listed",OR(LEN(D422)=0,LEN(E422)=0)),1,0)</f>
        <v>0</v>
      </c>
      <c r="Y422" s="271"/>
      <c r="Z422" s="271"/>
      <c r="AB422" s="273" t="str">
        <f t="shared" ref="AB422:AB452" si="62">B422&amp;C422</f>
        <v/>
      </c>
    </row>
    <row r="423" spans="1:28" s="272" customFormat="1" ht="19.8">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19.8">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19.8">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19.8">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19.8">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19.8">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19.8">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19.8">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19.8">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19.8">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19.8">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19.8">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19.8">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19.8">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19.8">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19.8">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19.8">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19.8">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19.8">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19.8">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19.8">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19.8">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19.8">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19.8">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19.8">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19.8">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19.8">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0"/>
        <v/>
      </c>
      <c r="T449" s="222" t="str">
        <f ca="1">IF(B449="","",IF(ISERROR(MATCH($J449,SorP!$B$1:$B$6230,0)),"",INDIRECT("'SorP'!$A$"&amp;MATCH($J449,SorP!$B$1:$B$6230,0))))</f>
        <v/>
      </c>
      <c r="U449" s="238"/>
      <c r="V449" s="270" t="e">
        <f>IF(C449="",NA(),MATCH($B449&amp;$C449,'Smelter Look-up'!$J:$J,0))</f>
        <v>#N/A</v>
      </c>
      <c r="W449" s="271"/>
      <c r="X449" s="271">
        <f t="shared" ca="1" si="61"/>
        <v>0</v>
      </c>
      <c r="Y449" s="271"/>
      <c r="Z449" s="271"/>
      <c r="AB449" s="273" t="str">
        <f t="shared" si="62"/>
        <v/>
      </c>
    </row>
    <row r="450" spans="1:28" s="272" customFormat="1" ht="19.8">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0"/>
        <v/>
      </c>
      <c r="T450" s="222" t="str">
        <f ca="1">IF(B450="","",IF(ISERROR(MATCH($J450,SorP!$B$1:$B$6230,0)),"",INDIRECT("'SorP'!$A$"&amp;MATCH($J450,SorP!$B$1:$B$6230,0))))</f>
        <v/>
      </c>
      <c r="U450" s="238"/>
      <c r="V450" s="270" t="e">
        <f>IF(C450="",NA(),MATCH($B450&amp;$C450,'Smelter Look-up'!$J:$J,0))</f>
        <v>#N/A</v>
      </c>
      <c r="W450" s="271"/>
      <c r="X450" s="271">
        <f t="shared" ca="1" si="61"/>
        <v>0</v>
      </c>
      <c r="Y450" s="271"/>
      <c r="Z450" s="271"/>
      <c r="AB450" s="273" t="str">
        <f t="shared" si="62"/>
        <v/>
      </c>
    </row>
    <row r="451" spans="1:28" s="272" customFormat="1" ht="19.8">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0"/>
        <v/>
      </c>
      <c r="T451" s="222" t="str">
        <f ca="1">IF(B451="","",IF(ISERROR(MATCH($J451,SorP!$B$1:$B$6230,0)),"",INDIRECT("'SorP'!$A$"&amp;MATCH($J451,SorP!$B$1:$B$6230,0))))</f>
        <v/>
      </c>
      <c r="U451" s="238"/>
      <c r="V451" s="270" t="e">
        <f>IF(C451="",NA(),MATCH($B451&amp;$C451,'Smelter Look-up'!$J:$J,0))</f>
        <v>#N/A</v>
      </c>
      <c r="W451" s="271"/>
      <c r="X451" s="271">
        <f t="shared" ca="1" si="61"/>
        <v>0</v>
      </c>
      <c r="Y451" s="271"/>
      <c r="Z451" s="271"/>
      <c r="AB451" s="273" t="str">
        <f t="shared" si="62"/>
        <v/>
      </c>
    </row>
    <row r="452" spans="1:28" s="272" customFormat="1" ht="19.8">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0"/>
        <v/>
      </c>
      <c r="T452" s="222" t="str">
        <f ca="1">IF(B452="","",IF(ISERROR(MATCH($J452,SorP!$B$1:$B$6230,0)),"",INDIRECT("'SorP'!$A$"&amp;MATCH($J452,SorP!$B$1:$B$6230,0))))</f>
        <v/>
      </c>
      <c r="U452" s="238"/>
      <c r="V452" s="270" t="e">
        <f>IF(C452="",NA(),MATCH($B452&amp;$C452,'Smelter Look-up'!$J:$J,0))</f>
        <v>#N/A</v>
      </c>
      <c r="W452" s="271"/>
      <c r="X452" s="271">
        <f t="shared" ca="1" si="61"/>
        <v>0</v>
      </c>
      <c r="Y452" s="271"/>
      <c r="Z452" s="271"/>
      <c r="AB452" s="273" t="str">
        <f t="shared" si="62"/>
        <v/>
      </c>
    </row>
    <row r="453" spans="1:28" s="272" customFormat="1" ht="19.8">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70" t="e">
        <f>IF(C453="",NA(),MATCH($B453&amp;$C453,'Smelter Look-up'!$J:$J,0))</f>
        <v>#N/A</v>
      </c>
      <c r="W453" s="271"/>
      <c r="X453" s="271">
        <f t="shared" ref="X453" ca="1" si="64">IF(AND(C453="Smelter not listed",OR(LEN(D453)=0,LEN(E453)=0)),1,0)</f>
        <v>0</v>
      </c>
      <c r="Y453" s="271"/>
      <c r="Z453" s="271"/>
      <c r="AB453" s="273" t="str">
        <f t="shared" ref="AB453" si="65">B453&amp;C453</f>
        <v/>
      </c>
    </row>
    <row r="454" spans="1:28" s="272" customFormat="1" ht="19.8">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67">IF(AND(C454="Smelter not listed",OR(LEN(D454)=0,LEN(E454)=0)),1,0)</f>
        <v>0</v>
      </c>
      <c r="Y454" s="271"/>
      <c r="Z454" s="271"/>
      <c r="AB454" s="273" t="str">
        <f t="shared" ref="AB454:AB485" si="68">B454&amp;C454</f>
        <v/>
      </c>
    </row>
    <row r="455" spans="1:28" s="272" customFormat="1" ht="19.8">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19.8">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19.8">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19.8">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19.8">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19.8">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19.8">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19.8">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19.8">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19.8">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19.8">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19.8">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19.8">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19.8">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19.8">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19.8">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19.8">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19.8">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19.8">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19.8">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19.8">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19.8">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19.8">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19.8">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19.8">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19.8">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19.8">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19.8">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19.8">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6"/>
        <v/>
      </c>
      <c r="T483" s="222" t="str">
        <f ca="1">IF(B483="","",IF(ISERROR(MATCH($J483,SorP!$B$1:$B$6230,0)),"",INDIRECT("'SorP'!$A$"&amp;MATCH($J483,SorP!$B$1:$B$6230,0))))</f>
        <v/>
      </c>
      <c r="U483" s="238"/>
      <c r="V483" s="270" t="e">
        <f>IF(C483="",NA(),MATCH($B483&amp;$C483,'Smelter Look-up'!$J:$J,0))</f>
        <v>#N/A</v>
      </c>
      <c r="W483" s="271"/>
      <c r="X483" s="271">
        <f t="shared" ca="1" si="67"/>
        <v>0</v>
      </c>
      <c r="Y483" s="271"/>
      <c r="Z483" s="271"/>
      <c r="AB483" s="273" t="str">
        <f t="shared" si="68"/>
        <v/>
      </c>
    </row>
    <row r="484" spans="1:28" s="272" customFormat="1" ht="19.8">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6"/>
        <v/>
      </c>
      <c r="T484" s="222" t="str">
        <f ca="1">IF(B484="","",IF(ISERROR(MATCH($J484,SorP!$B$1:$B$6230,0)),"",INDIRECT("'SorP'!$A$"&amp;MATCH($J484,SorP!$B$1:$B$6230,0))))</f>
        <v/>
      </c>
      <c r="U484" s="238"/>
      <c r="V484" s="270" t="e">
        <f>IF(C484="",NA(),MATCH($B484&amp;$C484,'Smelter Look-up'!$J:$J,0))</f>
        <v>#N/A</v>
      </c>
      <c r="W484" s="271"/>
      <c r="X484" s="271">
        <f t="shared" ca="1" si="67"/>
        <v>0</v>
      </c>
      <c r="Y484" s="271"/>
      <c r="Z484" s="271"/>
      <c r="AB484" s="273" t="str">
        <f t="shared" si="68"/>
        <v/>
      </c>
    </row>
    <row r="485" spans="1:28" s="272" customFormat="1" ht="19.8">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6"/>
        <v/>
      </c>
      <c r="T485" s="222" t="str">
        <f ca="1">IF(B485="","",IF(ISERROR(MATCH($J485,SorP!$B$1:$B$6230,0)),"",INDIRECT("'SorP'!$A$"&amp;MATCH($J485,SorP!$B$1:$B$6230,0))))</f>
        <v/>
      </c>
      <c r="U485" s="238"/>
      <c r="V485" s="270" t="e">
        <f>IF(C485="",NA(),MATCH($B485&amp;$C485,'Smelter Look-up'!$J:$J,0))</f>
        <v>#N/A</v>
      </c>
      <c r="W485" s="271"/>
      <c r="X485" s="271">
        <f t="shared" ca="1" si="67"/>
        <v>0</v>
      </c>
      <c r="Y485" s="271"/>
      <c r="Z485" s="271"/>
      <c r="AB485" s="273" t="str">
        <f t="shared" si="68"/>
        <v/>
      </c>
    </row>
    <row r="486" spans="1:28" s="272" customFormat="1" ht="19.8">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70">IF(AND(C486="Smelter not listed",OR(LEN(D486)=0,LEN(E486)=0)),1,0)</f>
        <v>0</v>
      </c>
      <c r="Y486" s="271"/>
      <c r="Z486" s="271"/>
      <c r="AB486" s="273" t="str">
        <f t="shared" ref="AB486:AB516" si="71">B486&amp;C486</f>
        <v/>
      </c>
    </row>
    <row r="487" spans="1:28" s="272" customFormat="1" ht="19.8">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19.8">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19.8">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19.8">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19.8">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19.8">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19.8">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19.8">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19.8">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19.8">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19.8">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19.8">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19.8">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19.8">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19.8">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19.8">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19.8">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19.8">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19.8">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19.8">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19.8">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19.8">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19.8">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19.8">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19.8">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19.8">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19.8">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69"/>
        <v/>
      </c>
      <c r="T513" s="222" t="str">
        <f ca="1">IF(B513="","",IF(ISERROR(MATCH($J513,SorP!$B$1:$B$6230,0)),"",INDIRECT("'SorP'!$A$"&amp;MATCH($J513,SorP!$B$1:$B$6230,0))))</f>
        <v/>
      </c>
      <c r="U513" s="238"/>
      <c r="V513" s="270" t="e">
        <f>IF(C513="",NA(),MATCH($B513&amp;$C513,'Smelter Look-up'!$J:$J,0))</f>
        <v>#N/A</v>
      </c>
      <c r="W513" s="271"/>
      <c r="X513" s="271">
        <f t="shared" ca="1" si="70"/>
        <v>0</v>
      </c>
      <c r="Y513" s="271"/>
      <c r="Z513" s="271"/>
      <c r="AB513" s="273" t="str">
        <f t="shared" si="71"/>
        <v/>
      </c>
    </row>
    <row r="514" spans="1:28" s="272" customFormat="1" ht="19.8">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69"/>
        <v/>
      </c>
      <c r="T514" s="222" t="str">
        <f ca="1">IF(B514="","",IF(ISERROR(MATCH($J514,SorP!$B$1:$B$6230,0)),"",INDIRECT("'SorP'!$A$"&amp;MATCH($J514,SorP!$B$1:$B$6230,0))))</f>
        <v/>
      </c>
      <c r="U514" s="238"/>
      <c r="V514" s="270" t="e">
        <f>IF(C514="",NA(),MATCH($B514&amp;$C514,'Smelter Look-up'!$J:$J,0))</f>
        <v>#N/A</v>
      </c>
      <c r="W514" s="271"/>
      <c r="X514" s="271">
        <f t="shared" ca="1" si="70"/>
        <v>0</v>
      </c>
      <c r="Y514" s="271"/>
      <c r="Z514" s="271"/>
      <c r="AB514" s="273" t="str">
        <f t="shared" si="71"/>
        <v/>
      </c>
    </row>
    <row r="515" spans="1:28" s="272" customFormat="1" ht="19.8">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69"/>
        <v/>
      </c>
      <c r="T515" s="222" t="str">
        <f ca="1">IF(B515="","",IF(ISERROR(MATCH($J515,SorP!$B$1:$B$6230,0)),"",INDIRECT("'SorP'!$A$"&amp;MATCH($J515,SorP!$B$1:$B$6230,0))))</f>
        <v/>
      </c>
      <c r="U515" s="238"/>
      <c r="V515" s="270" t="e">
        <f>IF(C515="",NA(),MATCH($B515&amp;$C515,'Smelter Look-up'!$J:$J,0))</f>
        <v>#N/A</v>
      </c>
      <c r="W515" s="271"/>
      <c r="X515" s="271">
        <f t="shared" ca="1" si="70"/>
        <v>0</v>
      </c>
      <c r="Y515" s="271"/>
      <c r="Z515" s="271"/>
      <c r="AB515" s="273" t="str">
        <f t="shared" si="71"/>
        <v/>
      </c>
    </row>
    <row r="516" spans="1:28" s="272" customFormat="1" ht="19.8">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69"/>
        <v/>
      </c>
      <c r="T516" s="222" t="str">
        <f ca="1">IF(B516="","",IF(ISERROR(MATCH($J516,SorP!$B$1:$B$6230,0)),"",INDIRECT("'SorP'!$A$"&amp;MATCH($J516,SorP!$B$1:$B$6230,0))))</f>
        <v/>
      </c>
      <c r="U516" s="238"/>
      <c r="V516" s="270" t="e">
        <f>IF(C516="",NA(),MATCH($B516&amp;$C516,'Smelter Look-up'!$J:$J,0))</f>
        <v>#N/A</v>
      </c>
      <c r="W516" s="271"/>
      <c r="X516" s="271">
        <f t="shared" ca="1" si="70"/>
        <v>0</v>
      </c>
      <c r="Y516" s="271"/>
      <c r="Z516" s="271"/>
      <c r="AB516" s="273" t="str">
        <f t="shared" si="71"/>
        <v/>
      </c>
    </row>
    <row r="517" spans="1:28" s="272" customFormat="1" ht="19.8">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70" t="e">
        <f>IF(C517="",NA(),MATCH($B517&amp;$C517,'Smelter Look-up'!$J:$J,0))</f>
        <v>#N/A</v>
      </c>
      <c r="W517" s="271"/>
      <c r="X517" s="271">
        <f t="shared" ref="X517" ca="1" si="73">IF(AND(C517="Smelter not listed",OR(LEN(D517)=0,LEN(E517)=0)),1,0)</f>
        <v>0</v>
      </c>
      <c r="Y517" s="271"/>
      <c r="Z517" s="271"/>
      <c r="AB517" s="273" t="str">
        <f t="shared" ref="AB517" si="74">B517&amp;C517</f>
        <v/>
      </c>
    </row>
    <row r="518" spans="1:28" s="272" customFormat="1" ht="19.8">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76">IF(AND(C518="Smelter not listed",OR(LEN(D518)=0,LEN(E518)=0)),1,0)</f>
        <v>0</v>
      </c>
      <c r="Y518" s="271"/>
      <c r="Z518" s="271"/>
      <c r="AB518" s="273" t="str">
        <f t="shared" ref="AB518:AB549" si="77">B518&amp;C518</f>
        <v/>
      </c>
    </row>
    <row r="519" spans="1:28" s="272" customFormat="1" ht="19.8">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19.8">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19.8">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19.8">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19.8">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19.8">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19.8">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19.8">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19.8">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19.8">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19.8">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19.8">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19.8">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19.8">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19.8">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19.8">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19.8">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19.8">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19.8">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19.8">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19.8">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19.8">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19.8">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19.8">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19.8">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19.8">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19.8">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19.8">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19.8">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5"/>
        <v/>
      </c>
      <c r="T547" s="222" t="str">
        <f ca="1">IF(B547="","",IF(ISERROR(MATCH($J547,SorP!$B$1:$B$6230,0)),"",INDIRECT("'SorP'!$A$"&amp;MATCH($J547,SorP!$B$1:$B$6230,0))))</f>
        <v/>
      </c>
      <c r="U547" s="238"/>
      <c r="V547" s="270" t="e">
        <f>IF(C547="",NA(),MATCH($B547&amp;$C547,'Smelter Look-up'!$J:$J,0))</f>
        <v>#N/A</v>
      </c>
      <c r="W547" s="271"/>
      <c r="X547" s="271">
        <f t="shared" ca="1" si="76"/>
        <v>0</v>
      </c>
      <c r="Y547" s="271"/>
      <c r="Z547" s="271"/>
      <c r="AB547" s="273" t="str">
        <f t="shared" si="77"/>
        <v/>
      </c>
    </row>
    <row r="548" spans="1:28" s="272" customFormat="1" ht="19.8">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5"/>
        <v/>
      </c>
      <c r="T548" s="222" t="str">
        <f ca="1">IF(B548="","",IF(ISERROR(MATCH($J548,SorP!$B$1:$B$6230,0)),"",INDIRECT("'SorP'!$A$"&amp;MATCH($J548,SorP!$B$1:$B$6230,0))))</f>
        <v/>
      </c>
      <c r="U548" s="238"/>
      <c r="V548" s="270" t="e">
        <f>IF(C548="",NA(),MATCH($B548&amp;$C548,'Smelter Look-up'!$J:$J,0))</f>
        <v>#N/A</v>
      </c>
      <c r="W548" s="271"/>
      <c r="X548" s="271">
        <f t="shared" ca="1" si="76"/>
        <v>0</v>
      </c>
      <c r="Y548" s="271"/>
      <c r="Z548" s="271"/>
      <c r="AB548" s="273" t="str">
        <f t="shared" si="77"/>
        <v/>
      </c>
    </row>
    <row r="549" spans="1:28" s="272" customFormat="1" ht="19.8">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5"/>
        <v/>
      </c>
      <c r="T549" s="222" t="str">
        <f ca="1">IF(B549="","",IF(ISERROR(MATCH($J549,SorP!$B$1:$B$6230,0)),"",INDIRECT("'SorP'!$A$"&amp;MATCH($J549,SorP!$B$1:$B$6230,0))))</f>
        <v/>
      </c>
      <c r="U549" s="238"/>
      <c r="V549" s="270" t="e">
        <f>IF(C549="",NA(),MATCH($B549&amp;$C549,'Smelter Look-up'!$J:$J,0))</f>
        <v>#N/A</v>
      </c>
      <c r="W549" s="271"/>
      <c r="X549" s="271">
        <f t="shared" ca="1" si="76"/>
        <v>0</v>
      </c>
      <c r="Y549" s="271"/>
      <c r="Z549" s="271"/>
      <c r="AB549" s="273" t="str">
        <f t="shared" si="77"/>
        <v/>
      </c>
    </row>
    <row r="550" spans="1:28" s="272" customFormat="1" ht="19.8">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79">IF(AND(C550="Smelter not listed",OR(LEN(D550)=0,LEN(E550)=0)),1,0)</f>
        <v>0</v>
      </c>
      <c r="Y550" s="271"/>
      <c r="Z550" s="271"/>
      <c r="AB550" s="273" t="str">
        <f t="shared" ref="AB550:AB580" si="80">B550&amp;C550</f>
        <v/>
      </c>
    </row>
    <row r="551" spans="1:28" s="272" customFormat="1" ht="19.8">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19.8">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19.8">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19.8">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19.8">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19.8">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19.8">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19.8">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19.8">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19.8">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19.8">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19.8">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19.8">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19.8">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19.8">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19.8">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19.8">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19.8">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19.8">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19.8">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19.8">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19.8">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19.8">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19.8">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19.8">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19.8">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19.8">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78"/>
        <v/>
      </c>
      <c r="T577" s="222" t="str">
        <f ca="1">IF(B577="","",IF(ISERROR(MATCH($J577,SorP!$B$1:$B$6230,0)),"",INDIRECT("'SorP'!$A$"&amp;MATCH($J577,SorP!$B$1:$B$6230,0))))</f>
        <v/>
      </c>
      <c r="U577" s="238"/>
      <c r="V577" s="270" t="e">
        <f>IF(C577="",NA(),MATCH($B577&amp;$C577,'Smelter Look-up'!$J:$J,0))</f>
        <v>#N/A</v>
      </c>
      <c r="W577" s="271"/>
      <c r="X577" s="271">
        <f t="shared" ca="1" si="79"/>
        <v>0</v>
      </c>
      <c r="Y577" s="271"/>
      <c r="Z577" s="271"/>
      <c r="AB577" s="273" t="str">
        <f t="shared" si="80"/>
        <v/>
      </c>
    </row>
    <row r="578" spans="1:28" s="272" customFormat="1" ht="19.8">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78"/>
        <v/>
      </c>
      <c r="T578" s="222" t="str">
        <f ca="1">IF(B578="","",IF(ISERROR(MATCH($J578,SorP!$B$1:$B$6230,0)),"",INDIRECT("'SorP'!$A$"&amp;MATCH($J578,SorP!$B$1:$B$6230,0))))</f>
        <v/>
      </c>
      <c r="U578" s="238"/>
      <c r="V578" s="270" t="e">
        <f>IF(C578="",NA(),MATCH($B578&amp;$C578,'Smelter Look-up'!$J:$J,0))</f>
        <v>#N/A</v>
      </c>
      <c r="W578" s="271"/>
      <c r="X578" s="271">
        <f t="shared" ca="1" si="79"/>
        <v>0</v>
      </c>
      <c r="Y578" s="271"/>
      <c r="Z578" s="271"/>
      <c r="AB578" s="273" t="str">
        <f t="shared" si="80"/>
        <v/>
      </c>
    </row>
    <row r="579" spans="1:28" s="272" customFormat="1" ht="19.8">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78"/>
        <v/>
      </c>
      <c r="T579" s="222" t="str">
        <f ca="1">IF(B579="","",IF(ISERROR(MATCH($J579,SorP!$B$1:$B$6230,0)),"",INDIRECT("'SorP'!$A$"&amp;MATCH($J579,SorP!$B$1:$B$6230,0))))</f>
        <v/>
      </c>
      <c r="U579" s="238"/>
      <c r="V579" s="270" t="e">
        <f>IF(C579="",NA(),MATCH($B579&amp;$C579,'Smelter Look-up'!$J:$J,0))</f>
        <v>#N/A</v>
      </c>
      <c r="W579" s="271"/>
      <c r="X579" s="271">
        <f t="shared" ca="1" si="79"/>
        <v>0</v>
      </c>
      <c r="Y579" s="271"/>
      <c r="Z579" s="271"/>
      <c r="AB579" s="273" t="str">
        <f t="shared" si="80"/>
        <v/>
      </c>
    </row>
    <row r="580" spans="1:28" s="272" customFormat="1" ht="19.8">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78"/>
        <v/>
      </c>
      <c r="T580" s="222" t="str">
        <f ca="1">IF(B580="","",IF(ISERROR(MATCH($J580,SorP!$B$1:$B$6230,0)),"",INDIRECT("'SorP'!$A$"&amp;MATCH($J580,SorP!$B$1:$B$6230,0))))</f>
        <v/>
      </c>
      <c r="U580" s="238"/>
      <c r="V580" s="270" t="e">
        <f>IF(C580="",NA(),MATCH($B580&amp;$C580,'Smelter Look-up'!$J:$J,0))</f>
        <v>#N/A</v>
      </c>
      <c r="W580" s="271"/>
      <c r="X580" s="271">
        <f t="shared" ca="1" si="79"/>
        <v>0</v>
      </c>
      <c r="Y580" s="271"/>
      <c r="Z580" s="271"/>
      <c r="AB580" s="273" t="str">
        <f t="shared" si="80"/>
        <v/>
      </c>
    </row>
    <row r="581" spans="1:28" s="272" customFormat="1" ht="19.8">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2">IF(AND(C581="Smelter not listed",OR(LEN(D581)=0,LEN(E581)=0)),1,0)</f>
        <v>0</v>
      </c>
      <c r="Y581" s="271"/>
      <c r="Z581" s="271"/>
      <c r="AB581" s="273" t="str">
        <f t="shared" ref="AB581" si="83">B581&amp;C581</f>
        <v/>
      </c>
    </row>
    <row r="582" spans="1:28" s="272" customFormat="1" ht="19.8">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19.8">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19.8">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70" t="e">
        <f>IF(C584="",NA(),MATCH($B584&amp;$C584,'Smelter Look-up'!$J:$J,0))</f>
        <v>#N/A</v>
      </c>
      <c r="W584" s="271"/>
      <c r="X584" s="271">
        <f ca="1">IF(AND(C584="Smelter not listed",OR(LEN(D584)=0,LEN(E584)=0)),1,0)</f>
        <v>0</v>
      </c>
      <c r="Y584" s="271"/>
      <c r="Z584" s="271"/>
      <c r="AB584" s="273" t="str">
        <f>B584&amp;C584</f>
        <v/>
      </c>
    </row>
    <row r="585" spans="1:28" s="272" customFormat="1" ht="19.8">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70" t="e">
        <f>IF(C585="",NA(),MATCH($B585&amp;$C585,'Smelter Look-up'!$J:$J,0))</f>
        <v>#N/A</v>
      </c>
      <c r="W585" s="271"/>
      <c r="X585" s="271">
        <f ca="1">IF(AND(C585="Smelter not listed",OR(LEN(D585)=0,LEN(E585)=0)),1,0)</f>
        <v>0</v>
      </c>
      <c r="Y585" s="271"/>
      <c r="Z585" s="271"/>
      <c r="AB585" s="273" t="str">
        <f>B585&amp;C585</f>
        <v/>
      </c>
    </row>
    <row r="586" spans="1:28" s="272" customFormat="1" ht="19.8">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70" t="e">
        <f>IF(C586="",NA(),MATCH($B586&amp;$C586,'Smelter Look-up'!$J:$J,0))</f>
        <v>#N/A</v>
      </c>
      <c r="W586" s="271"/>
      <c r="X586" s="271">
        <f t="shared" ref="X586" ca="1" si="85">IF(AND(C586="Smelter not listed",OR(LEN(D586)=0,LEN(E586)=0)),1,0)</f>
        <v>0</v>
      </c>
      <c r="Y586" s="271"/>
      <c r="Z586" s="271"/>
      <c r="AB586" s="273" t="str">
        <f t="shared" ref="AB586" si="86">B586&amp;C586</f>
        <v/>
      </c>
    </row>
    <row r="587" spans="1:28" s="272" customFormat="1" ht="19.8">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88">IF(AND(C587="Smelter not listed",OR(LEN(D587)=0,LEN(E587)=0)),1,0)</f>
        <v>0</v>
      </c>
      <c r="Y587" s="271"/>
      <c r="Z587" s="271"/>
      <c r="AB587" s="273" t="str">
        <f t="shared" ref="AB587:AB634" si="89">B587&amp;C587</f>
        <v/>
      </c>
    </row>
    <row r="588" spans="1:28" s="272" customFormat="1" ht="19.8">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19.8">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19.8">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19.8">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19.8">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19.8">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19.8">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19.8">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19.8">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19.8">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19.8">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19.8">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19.8">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19.8">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19.8">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19.8">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19.8">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19.8">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19.8">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19.8">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19.8">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19.8">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19.8">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19.8">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19.8">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19.8">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19.8">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19.8">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19.8">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19.8">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19.8">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19.8">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19.8">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19.8">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19.8">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19.8">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19.8">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19.8">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19.8">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19.8">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19.8">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19.8">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19.8">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19.8">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7"/>
        <v/>
      </c>
      <c r="T631" s="222" t="str">
        <f ca="1">IF(B631="","",IF(ISERROR(MATCH($J631,SorP!$B$1:$B$6230,0)),"",INDIRECT("'SorP'!$A$"&amp;MATCH($J631,SorP!$B$1:$B$6230,0))))</f>
        <v/>
      </c>
      <c r="U631" s="238"/>
      <c r="V631" s="270" t="e">
        <f>IF(C631="",NA(),MATCH($B631&amp;$C631,'Smelter Look-up'!$J:$J,0))</f>
        <v>#N/A</v>
      </c>
      <c r="W631" s="271"/>
      <c r="X631" s="271">
        <f t="shared" ca="1" si="88"/>
        <v>0</v>
      </c>
      <c r="Y631" s="271"/>
      <c r="Z631" s="271"/>
      <c r="AB631" s="273" t="str">
        <f t="shared" si="89"/>
        <v/>
      </c>
    </row>
    <row r="632" spans="1:28" s="272" customFormat="1" ht="19.8">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87"/>
        <v/>
      </c>
      <c r="T632" s="222" t="str">
        <f ca="1">IF(B632="","",IF(ISERROR(MATCH($J632,SorP!$B$1:$B$6230,0)),"",INDIRECT("'SorP'!$A$"&amp;MATCH($J632,SorP!$B$1:$B$6230,0))))</f>
        <v/>
      </c>
      <c r="U632" s="238"/>
      <c r="V632" s="270" t="e">
        <f>IF(C632="",NA(),MATCH($B632&amp;$C632,'Smelter Look-up'!$J:$J,0))</f>
        <v>#N/A</v>
      </c>
      <c r="W632" s="271"/>
      <c r="X632" s="271">
        <f t="shared" ca="1" si="88"/>
        <v>0</v>
      </c>
      <c r="Y632" s="271"/>
      <c r="Z632" s="271"/>
      <c r="AB632" s="273" t="str">
        <f t="shared" si="89"/>
        <v/>
      </c>
    </row>
    <row r="633" spans="1:28" s="272" customFormat="1" ht="19.8">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87"/>
        <v/>
      </c>
      <c r="T633" s="222" t="str">
        <f ca="1">IF(B633="","",IF(ISERROR(MATCH($J633,SorP!$B$1:$B$6230,0)),"",INDIRECT("'SorP'!$A$"&amp;MATCH($J633,SorP!$B$1:$B$6230,0))))</f>
        <v/>
      </c>
      <c r="U633" s="238"/>
      <c r="V633" s="270" t="e">
        <f>IF(C633="",NA(),MATCH($B633&amp;$C633,'Smelter Look-up'!$J:$J,0))</f>
        <v>#N/A</v>
      </c>
      <c r="W633" s="271"/>
      <c r="X633" s="271">
        <f t="shared" ca="1" si="88"/>
        <v>0</v>
      </c>
      <c r="Y633" s="271"/>
      <c r="Z633" s="271"/>
      <c r="AB633" s="273" t="str">
        <f t="shared" si="89"/>
        <v/>
      </c>
    </row>
    <row r="634" spans="1:28" s="272" customFormat="1" ht="19.8">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87"/>
        <v/>
      </c>
      <c r="T634" s="222" t="str">
        <f ca="1">IF(B634="","",IF(ISERROR(MATCH($J634,SorP!$B$1:$B$6230,0)),"",INDIRECT("'SorP'!$A$"&amp;MATCH($J634,SorP!$B$1:$B$6230,0))))</f>
        <v/>
      </c>
      <c r="U634" s="238"/>
      <c r="V634" s="270" t="e">
        <f>IF(C634="",NA(),MATCH($B634&amp;$C634,'Smelter Look-up'!$J:$J,0))</f>
        <v>#N/A</v>
      </c>
      <c r="W634" s="271"/>
      <c r="X634" s="271">
        <f t="shared" ca="1" si="88"/>
        <v>0</v>
      </c>
      <c r="Y634" s="271"/>
      <c r="Z634" s="271"/>
      <c r="AB634" s="273" t="str">
        <f t="shared" si="89"/>
        <v/>
      </c>
    </row>
    <row r="635" spans="1:28" s="272" customFormat="1" ht="19.8">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70" t="e">
        <f>IF(C635="",NA(),MATCH($B635&amp;$C635,'Smelter Look-up'!$J:$J,0))</f>
        <v>#N/A</v>
      </c>
      <c r="W635" s="271"/>
      <c r="X635" s="271">
        <f t="shared" ref="X635" ca="1" si="91">IF(AND(C635="Smelter not listed",OR(LEN(D635)=0,LEN(E635)=0)),1,0)</f>
        <v>0</v>
      </c>
      <c r="Y635" s="271"/>
      <c r="Z635" s="271"/>
      <c r="AB635" s="273" t="str">
        <f t="shared" ref="AB635" si="92">B635&amp;C635</f>
        <v/>
      </c>
    </row>
    <row r="636" spans="1:28" s="272" customFormat="1" ht="19.8">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94">IF(AND(C636="Smelter not listed",OR(LEN(D636)=0,LEN(E636)=0)),1,0)</f>
        <v>0</v>
      </c>
      <c r="Y636" s="271"/>
      <c r="Z636" s="271"/>
      <c r="AB636" s="273" t="str">
        <f t="shared" ref="AB636:AB667" si="95">B636&amp;C636</f>
        <v/>
      </c>
    </row>
    <row r="637" spans="1:28" s="272" customFormat="1" ht="19.8">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19.8">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19.8">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19.8">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19.8">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19.8">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19.8">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19.8">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19.8">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19.8">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19.8">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19.8">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19.8">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19.8">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19.8">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19.8">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19.8">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19.8">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19.8">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19.8">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19.8">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19.8">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19.8">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19.8">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19.8">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19.8">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19.8">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19.8">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19.8">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3"/>
        <v/>
      </c>
      <c r="T665" s="222" t="str">
        <f ca="1">IF(B665="","",IF(ISERROR(MATCH($J665,SorP!$B$1:$B$6230,0)),"",INDIRECT("'SorP'!$A$"&amp;MATCH($J665,SorP!$B$1:$B$6230,0))))</f>
        <v/>
      </c>
      <c r="U665" s="238"/>
      <c r="V665" s="270" t="e">
        <f>IF(C665="",NA(),MATCH($B665&amp;$C665,'Smelter Look-up'!$J:$J,0))</f>
        <v>#N/A</v>
      </c>
      <c r="W665" s="271"/>
      <c r="X665" s="271">
        <f t="shared" ca="1" si="94"/>
        <v>0</v>
      </c>
      <c r="Y665" s="271"/>
      <c r="Z665" s="271"/>
      <c r="AB665" s="273" t="str">
        <f t="shared" si="95"/>
        <v/>
      </c>
    </row>
    <row r="666" spans="1:28" s="272" customFormat="1" ht="19.8">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3"/>
        <v/>
      </c>
      <c r="T666" s="222" t="str">
        <f ca="1">IF(B666="","",IF(ISERROR(MATCH($J666,SorP!$B$1:$B$6230,0)),"",INDIRECT("'SorP'!$A$"&amp;MATCH($J666,SorP!$B$1:$B$6230,0))))</f>
        <v/>
      </c>
      <c r="U666" s="238"/>
      <c r="V666" s="270" t="e">
        <f>IF(C666="",NA(),MATCH($B666&amp;$C666,'Smelter Look-up'!$J:$J,0))</f>
        <v>#N/A</v>
      </c>
      <c r="W666" s="271"/>
      <c r="X666" s="271">
        <f t="shared" ca="1" si="94"/>
        <v>0</v>
      </c>
      <c r="Y666" s="271"/>
      <c r="Z666" s="271"/>
      <c r="AB666" s="273" t="str">
        <f t="shared" si="95"/>
        <v/>
      </c>
    </row>
    <row r="667" spans="1:28" s="272" customFormat="1" ht="19.8">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3"/>
        <v/>
      </c>
      <c r="T667" s="222" t="str">
        <f ca="1">IF(B667="","",IF(ISERROR(MATCH($J667,SorP!$B$1:$B$6230,0)),"",INDIRECT("'SorP'!$A$"&amp;MATCH($J667,SorP!$B$1:$B$6230,0))))</f>
        <v/>
      </c>
      <c r="U667" s="238"/>
      <c r="V667" s="270" t="e">
        <f>IF(C667="",NA(),MATCH($B667&amp;$C667,'Smelter Look-up'!$J:$J,0))</f>
        <v>#N/A</v>
      </c>
      <c r="W667" s="271"/>
      <c r="X667" s="271">
        <f t="shared" ca="1" si="94"/>
        <v>0</v>
      </c>
      <c r="Y667" s="271"/>
      <c r="Z667" s="271"/>
      <c r="AB667" s="273" t="str">
        <f t="shared" si="95"/>
        <v/>
      </c>
    </row>
    <row r="668" spans="1:28" s="272" customFormat="1" ht="19.8">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97">IF(AND(C668="Smelter not listed",OR(LEN(D668)=0,LEN(E668)=0)),1,0)</f>
        <v>0</v>
      </c>
      <c r="Y668" s="271"/>
      <c r="Z668" s="271"/>
      <c r="AB668" s="273" t="str">
        <f t="shared" ref="AB668:AB698" si="98">B668&amp;C668</f>
        <v/>
      </c>
    </row>
    <row r="669" spans="1:28" s="272" customFormat="1" ht="19.8">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19.8">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19.8">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19.8">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19.8">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19.8">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19.8">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19.8">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19.8">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19.8">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19.8">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19.8">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19.8">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19.8">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19.8">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19.8">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19.8">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19.8">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19.8">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19.8">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19.8">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19.8">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19.8">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19.8">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19.8">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19.8">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19.8">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6"/>
        <v/>
      </c>
      <c r="T695" s="222" t="str">
        <f ca="1">IF(B695="","",IF(ISERROR(MATCH($J695,SorP!$B$1:$B$6230,0)),"",INDIRECT("'SorP'!$A$"&amp;MATCH($J695,SorP!$B$1:$B$6230,0))))</f>
        <v/>
      </c>
      <c r="U695" s="238"/>
      <c r="V695" s="270" t="e">
        <f>IF(C695="",NA(),MATCH($B695&amp;$C695,'Smelter Look-up'!$J:$J,0))</f>
        <v>#N/A</v>
      </c>
      <c r="W695" s="271"/>
      <c r="X695" s="271">
        <f t="shared" ca="1" si="97"/>
        <v>0</v>
      </c>
      <c r="Y695" s="271"/>
      <c r="Z695" s="271"/>
      <c r="AB695" s="273" t="str">
        <f t="shared" si="98"/>
        <v/>
      </c>
    </row>
    <row r="696" spans="1:28" s="272" customFormat="1" ht="19.8">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6"/>
        <v/>
      </c>
      <c r="T696" s="222" t="str">
        <f ca="1">IF(B696="","",IF(ISERROR(MATCH($J696,SorP!$B$1:$B$6230,0)),"",INDIRECT("'SorP'!$A$"&amp;MATCH($J696,SorP!$B$1:$B$6230,0))))</f>
        <v/>
      </c>
      <c r="U696" s="238"/>
      <c r="V696" s="270" t="e">
        <f>IF(C696="",NA(),MATCH($B696&amp;$C696,'Smelter Look-up'!$J:$J,0))</f>
        <v>#N/A</v>
      </c>
      <c r="W696" s="271"/>
      <c r="X696" s="271">
        <f t="shared" ca="1" si="97"/>
        <v>0</v>
      </c>
      <c r="Y696" s="271"/>
      <c r="Z696" s="271"/>
      <c r="AB696" s="273" t="str">
        <f t="shared" si="98"/>
        <v/>
      </c>
    </row>
    <row r="697" spans="1:28" s="272" customFormat="1" ht="19.8">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96"/>
        <v/>
      </c>
      <c r="T697" s="222" t="str">
        <f ca="1">IF(B697="","",IF(ISERROR(MATCH($J697,SorP!$B$1:$B$6230,0)),"",INDIRECT("'SorP'!$A$"&amp;MATCH($J697,SorP!$B$1:$B$6230,0))))</f>
        <v/>
      </c>
      <c r="U697" s="238"/>
      <c r="V697" s="270" t="e">
        <f>IF(C697="",NA(),MATCH($B697&amp;$C697,'Smelter Look-up'!$J:$J,0))</f>
        <v>#N/A</v>
      </c>
      <c r="W697" s="271"/>
      <c r="X697" s="271">
        <f t="shared" ca="1" si="97"/>
        <v>0</v>
      </c>
      <c r="Y697" s="271"/>
      <c r="Z697" s="271"/>
      <c r="AB697" s="273" t="str">
        <f t="shared" si="98"/>
        <v/>
      </c>
    </row>
    <row r="698" spans="1:28" s="272" customFormat="1" ht="19.8">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96"/>
        <v/>
      </c>
      <c r="T698" s="222" t="str">
        <f ca="1">IF(B698="","",IF(ISERROR(MATCH($J698,SorP!$B$1:$B$6230,0)),"",INDIRECT("'SorP'!$A$"&amp;MATCH($J698,SorP!$B$1:$B$6230,0))))</f>
        <v/>
      </c>
      <c r="U698" s="238"/>
      <c r="V698" s="270" t="e">
        <f>IF(C698="",NA(),MATCH($B698&amp;$C698,'Smelter Look-up'!$J:$J,0))</f>
        <v>#N/A</v>
      </c>
      <c r="W698" s="271"/>
      <c r="X698" s="271">
        <f t="shared" ca="1" si="97"/>
        <v>0</v>
      </c>
      <c r="Y698" s="271"/>
      <c r="Z698" s="271"/>
      <c r="AB698" s="273" t="str">
        <f t="shared" si="98"/>
        <v/>
      </c>
    </row>
    <row r="699" spans="1:28" s="272" customFormat="1" ht="19.8">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70" t="e">
        <f>IF(C699="",NA(),MATCH($B699&amp;$C699,'Smelter Look-up'!$J:$J,0))</f>
        <v>#N/A</v>
      </c>
      <c r="W699" s="271"/>
      <c r="X699" s="271">
        <f t="shared" ref="X699" ca="1" si="100">IF(AND(C699="Smelter not listed",OR(LEN(D699)=0,LEN(E699)=0)),1,0)</f>
        <v>0</v>
      </c>
      <c r="Y699" s="271"/>
      <c r="Z699" s="271"/>
      <c r="AB699" s="273" t="str">
        <f t="shared" ref="AB699" si="101">B699&amp;C699</f>
        <v/>
      </c>
    </row>
    <row r="700" spans="1:28" s="272" customFormat="1" ht="19.8">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103">IF(AND(C700="Smelter not listed",OR(LEN(D700)=0,LEN(E700)=0)),1,0)</f>
        <v>0</v>
      </c>
      <c r="Y700" s="271"/>
      <c r="Z700" s="271"/>
      <c r="AB700" s="273" t="str">
        <f t="shared" ref="AB700:AB731" si="104">B700&amp;C700</f>
        <v/>
      </c>
    </row>
    <row r="701" spans="1:28" s="272" customFormat="1" ht="19.8">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19.8">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19.8">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19.8">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19.8">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19.8">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19.8">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19.8">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19.8">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19.8">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19.8">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19.8">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19.8">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19.8">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19.8">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19.8">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19.8">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19.8">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19.8">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19.8">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19.8">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19.8">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19.8">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19.8">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19.8">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19.8">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19.8">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19.8">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19.8">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2"/>
        <v/>
      </c>
      <c r="T729" s="222" t="str">
        <f ca="1">IF(B729="","",IF(ISERROR(MATCH($J729,SorP!$B$1:$B$6230,0)),"",INDIRECT("'SorP'!$A$"&amp;MATCH($J729,SorP!$B$1:$B$6230,0))))</f>
        <v/>
      </c>
      <c r="U729" s="238"/>
      <c r="V729" s="270" t="e">
        <f>IF(C729="",NA(),MATCH($B729&amp;$C729,'Smelter Look-up'!$J:$J,0))</f>
        <v>#N/A</v>
      </c>
      <c r="W729" s="271"/>
      <c r="X729" s="271">
        <f t="shared" ca="1" si="103"/>
        <v>0</v>
      </c>
      <c r="Y729" s="271"/>
      <c r="Z729" s="271"/>
      <c r="AB729" s="273" t="str">
        <f t="shared" si="104"/>
        <v/>
      </c>
    </row>
    <row r="730" spans="1:28" s="272" customFormat="1" ht="19.8">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2"/>
        <v/>
      </c>
      <c r="T730" s="222" t="str">
        <f ca="1">IF(B730="","",IF(ISERROR(MATCH($J730,SorP!$B$1:$B$6230,0)),"",INDIRECT("'SorP'!$A$"&amp;MATCH($J730,SorP!$B$1:$B$6230,0))))</f>
        <v/>
      </c>
      <c r="U730" s="238"/>
      <c r="V730" s="270" t="e">
        <f>IF(C730="",NA(),MATCH($B730&amp;$C730,'Smelter Look-up'!$J:$J,0))</f>
        <v>#N/A</v>
      </c>
      <c r="W730" s="271"/>
      <c r="X730" s="271">
        <f t="shared" ca="1" si="103"/>
        <v>0</v>
      </c>
      <c r="Y730" s="271"/>
      <c r="Z730" s="271"/>
      <c r="AB730" s="273" t="str">
        <f t="shared" si="104"/>
        <v/>
      </c>
    </row>
    <row r="731" spans="1:28" s="272" customFormat="1" ht="19.8">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2"/>
        <v/>
      </c>
      <c r="T731" s="222" t="str">
        <f ca="1">IF(B731="","",IF(ISERROR(MATCH($J731,SorP!$B$1:$B$6230,0)),"",INDIRECT("'SorP'!$A$"&amp;MATCH($J731,SorP!$B$1:$B$6230,0))))</f>
        <v/>
      </c>
      <c r="U731" s="238"/>
      <c r="V731" s="270" t="e">
        <f>IF(C731="",NA(),MATCH($B731&amp;$C731,'Smelter Look-up'!$J:$J,0))</f>
        <v>#N/A</v>
      </c>
      <c r="W731" s="271"/>
      <c r="X731" s="271">
        <f t="shared" ca="1" si="103"/>
        <v>0</v>
      </c>
      <c r="Y731" s="271"/>
      <c r="Z731" s="271"/>
      <c r="AB731" s="273" t="str">
        <f t="shared" si="104"/>
        <v/>
      </c>
    </row>
    <row r="732" spans="1:28" s="272" customFormat="1" ht="19.8">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106">IF(AND(C732="Smelter not listed",OR(LEN(D732)=0,LEN(E732)=0)),1,0)</f>
        <v>0</v>
      </c>
      <c r="Y732" s="271"/>
      <c r="Z732" s="271"/>
      <c r="AB732" s="273" t="str">
        <f t="shared" ref="AB732:AB762" si="107">B732&amp;C732</f>
        <v/>
      </c>
    </row>
    <row r="733" spans="1:28" s="272" customFormat="1" ht="19.8">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19.8">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19.8">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19.8">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19.8">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19.8">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19.8">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19.8">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19.8">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19.8">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19.8">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19.8">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19.8">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19.8">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19.8">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19.8">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19.8">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19.8">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19.8">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19.8">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19.8">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19.8">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19.8">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19.8">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19.8">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19.8">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19.8">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5"/>
        <v/>
      </c>
      <c r="T759" s="222" t="str">
        <f ca="1">IF(B759="","",IF(ISERROR(MATCH($J759,SorP!$B$1:$B$6230,0)),"",INDIRECT("'SorP'!$A$"&amp;MATCH($J759,SorP!$B$1:$B$6230,0))))</f>
        <v/>
      </c>
      <c r="U759" s="238"/>
      <c r="V759" s="270" t="e">
        <f>IF(C759="",NA(),MATCH($B759&amp;$C759,'Smelter Look-up'!$J:$J,0))</f>
        <v>#N/A</v>
      </c>
      <c r="W759" s="271"/>
      <c r="X759" s="271">
        <f t="shared" ca="1" si="106"/>
        <v>0</v>
      </c>
      <c r="Y759" s="271"/>
      <c r="Z759" s="271"/>
      <c r="AB759" s="273" t="str">
        <f t="shared" si="107"/>
        <v/>
      </c>
    </row>
    <row r="760" spans="1:28" s="272" customFormat="1" ht="19.8">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5"/>
        <v/>
      </c>
      <c r="T760" s="222" t="str">
        <f ca="1">IF(B760="","",IF(ISERROR(MATCH($J760,SorP!$B$1:$B$6230,0)),"",INDIRECT("'SorP'!$A$"&amp;MATCH($J760,SorP!$B$1:$B$6230,0))))</f>
        <v/>
      </c>
      <c r="U760" s="238"/>
      <c r="V760" s="270" t="e">
        <f>IF(C760="",NA(),MATCH($B760&amp;$C760,'Smelter Look-up'!$J:$J,0))</f>
        <v>#N/A</v>
      </c>
      <c r="W760" s="271"/>
      <c r="X760" s="271">
        <f t="shared" ca="1" si="106"/>
        <v>0</v>
      </c>
      <c r="Y760" s="271"/>
      <c r="Z760" s="271"/>
      <c r="AB760" s="273" t="str">
        <f t="shared" si="107"/>
        <v/>
      </c>
    </row>
    <row r="761" spans="1:28" s="272" customFormat="1" ht="19.8">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05"/>
        <v/>
      </c>
      <c r="T761" s="222" t="str">
        <f ca="1">IF(B761="","",IF(ISERROR(MATCH($J761,SorP!$B$1:$B$6230,0)),"",INDIRECT("'SorP'!$A$"&amp;MATCH($J761,SorP!$B$1:$B$6230,0))))</f>
        <v/>
      </c>
      <c r="U761" s="238"/>
      <c r="V761" s="270" t="e">
        <f>IF(C761="",NA(),MATCH($B761&amp;$C761,'Smelter Look-up'!$J:$J,0))</f>
        <v>#N/A</v>
      </c>
      <c r="W761" s="271"/>
      <c r="X761" s="271">
        <f t="shared" ca="1" si="106"/>
        <v>0</v>
      </c>
      <c r="Y761" s="271"/>
      <c r="Z761" s="271"/>
      <c r="AB761" s="273" t="str">
        <f t="shared" si="107"/>
        <v/>
      </c>
    </row>
    <row r="762" spans="1:28" s="272" customFormat="1" ht="19.8">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05"/>
        <v/>
      </c>
      <c r="T762" s="222" t="str">
        <f ca="1">IF(B762="","",IF(ISERROR(MATCH($J762,SorP!$B$1:$B$6230,0)),"",INDIRECT("'SorP'!$A$"&amp;MATCH($J762,SorP!$B$1:$B$6230,0))))</f>
        <v/>
      </c>
      <c r="U762" s="238"/>
      <c r="V762" s="270" t="e">
        <f>IF(C762="",NA(),MATCH($B762&amp;$C762,'Smelter Look-up'!$J:$J,0))</f>
        <v>#N/A</v>
      </c>
      <c r="W762" s="271"/>
      <c r="X762" s="271">
        <f t="shared" ca="1" si="106"/>
        <v>0</v>
      </c>
      <c r="Y762" s="271"/>
      <c r="Z762" s="271"/>
      <c r="AB762" s="273" t="str">
        <f t="shared" si="107"/>
        <v/>
      </c>
    </row>
    <row r="763" spans="1:28" s="272" customFormat="1" ht="19.8">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70" t="e">
        <f>IF(C763="",NA(),MATCH($B763&amp;$C763,'Smelter Look-up'!$J:$J,0))</f>
        <v>#N/A</v>
      </c>
      <c r="W763" s="271"/>
      <c r="X763" s="271">
        <f t="shared" ref="X763" ca="1" si="109">IF(AND(C763="Smelter not listed",OR(LEN(D763)=0,LEN(E763)=0)),1,0)</f>
        <v>0</v>
      </c>
      <c r="Y763" s="271"/>
      <c r="Z763" s="271"/>
      <c r="AB763" s="273" t="str">
        <f t="shared" ref="AB763" si="110">B763&amp;C763</f>
        <v/>
      </c>
    </row>
    <row r="764" spans="1:28" s="272" customFormat="1" ht="19.8">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112">IF(AND(C764="Smelter not listed",OR(LEN(D764)=0,LEN(E764)=0)),1,0)</f>
        <v>0</v>
      </c>
      <c r="Y764" s="271"/>
      <c r="Z764" s="271"/>
      <c r="AB764" s="273" t="str">
        <f t="shared" ref="AB764:AB795" si="113">B764&amp;C764</f>
        <v/>
      </c>
    </row>
    <row r="765" spans="1:28" s="272" customFormat="1" ht="19.8">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19.8">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19.8">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19.8">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19.8">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19.8">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19.8">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19.8">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19.8">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19.8">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19.8">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19.8">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19.8">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19.8">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19.8">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19.8">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19.8">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19.8">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19.8">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19.8">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19.8">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19.8">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19.8">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19.8">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19.8">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19.8">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19.8">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19.8">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19.8">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1"/>
        <v/>
      </c>
      <c r="T793" s="222" t="str">
        <f ca="1">IF(B793="","",IF(ISERROR(MATCH($J793,SorP!$B$1:$B$6230,0)),"",INDIRECT("'SorP'!$A$"&amp;MATCH($J793,SorP!$B$1:$B$6230,0))))</f>
        <v/>
      </c>
      <c r="U793" s="238"/>
      <c r="V793" s="270" t="e">
        <f>IF(C793="",NA(),MATCH($B793&amp;$C793,'Smelter Look-up'!$J:$J,0))</f>
        <v>#N/A</v>
      </c>
      <c r="W793" s="271"/>
      <c r="X793" s="271">
        <f t="shared" ca="1" si="112"/>
        <v>0</v>
      </c>
      <c r="Y793" s="271"/>
      <c r="Z793" s="271"/>
      <c r="AB793" s="273" t="str">
        <f t="shared" si="113"/>
        <v/>
      </c>
    </row>
    <row r="794" spans="1:28" s="272" customFormat="1" ht="19.8">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1"/>
        <v/>
      </c>
      <c r="T794" s="222" t="str">
        <f ca="1">IF(B794="","",IF(ISERROR(MATCH($J794,SorP!$B$1:$B$6230,0)),"",INDIRECT("'SorP'!$A$"&amp;MATCH($J794,SorP!$B$1:$B$6230,0))))</f>
        <v/>
      </c>
      <c r="U794" s="238"/>
      <c r="V794" s="270" t="e">
        <f>IF(C794="",NA(),MATCH($B794&amp;$C794,'Smelter Look-up'!$J:$J,0))</f>
        <v>#N/A</v>
      </c>
      <c r="W794" s="271"/>
      <c r="X794" s="271">
        <f t="shared" ca="1" si="112"/>
        <v>0</v>
      </c>
      <c r="Y794" s="271"/>
      <c r="Z794" s="271"/>
      <c r="AB794" s="273" t="str">
        <f t="shared" si="113"/>
        <v/>
      </c>
    </row>
    <row r="795" spans="1:28" s="272" customFormat="1" ht="19.8">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1"/>
        <v/>
      </c>
      <c r="T795" s="222" t="str">
        <f ca="1">IF(B795="","",IF(ISERROR(MATCH($J795,SorP!$B$1:$B$6230,0)),"",INDIRECT("'SorP'!$A$"&amp;MATCH($J795,SorP!$B$1:$B$6230,0))))</f>
        <v/>
      </c>
      <c r="U795" s="238"/>
      <c r="V795" s="270" t="e">
        <f>IF(C795="",NA(),MATCH($B795&amp;$C795,'Smelter Look-up'!$J:$J,0))</f>
        <v>#N/A</v>
      </c>
      <c r="W795" s="271"/>
      <c r="X795" s="271">
        <f t="shared" ca="1" si="112"/>
        <v>0</v>
      </c>
      <c r="Y795" s="271"/>
      <c r="Z795" s="271"/>
      <c r="AB795" s="273" t="str">
        <f t="shared" si="113"/>
        <v/>
      </c>
    </row>
    <row r="796" spans="1:28" s="272" customFormat="1" ht="19.8">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115">IF(AND(C796="Smelter not listed",OR(LEN(D796)=0,LEN(E796)=0)),1,0)</f>
        <v>0</v>
      </c>
      <c r="Y796" s="271"/>
      <c r="Z796" s="271"/>
      <c r="AB796" s="273" t="str">
        <f t="shared" ref="AB796:AB826" si="116">B796&amp;C796</f>
        <v/>
      </c>
    </row>
    <row r="797" spans="1:28" s="272" customFormat="1" ht="19.8">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19.8">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19.8">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19.8">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19.8">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19.8">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19.8">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19.8">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19.8">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19.8">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19.8">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19.8">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19.8">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19.8">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19.8">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19.8">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19.8">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19.8">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19.8">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19.8">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19.8">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19.8">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19.8">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19.8">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19.8">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19.8">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19.8">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4"/>
        <v/>
      </c>
      <c r="T823" s="222" t="str">
        <f ca="1">IF(B823="","",IF(ISERROR(MATCH($J823,SorP!$B$1:$B$6230,0)),"",INDIRECT("'SorP'!$A$"&amp;MATCH($J823,SorP!$B$1:$B$6230,0))))</f>
        <v/>
      </c>
      <c r="U823" s="238"/>
      <c r="V823" s="270" t="e">
        <f>IF(C823="",NA(),MATCH($B823&amp;$C823,'Smelter Look-up'!$J:$J,0))</f>
        <v>#N/A</v>
      </c>
      <c r="W823" s="271"/>
      <c r="X823" s="271">
        <f t="shared" ca="1" si="115"/>
        <v>0</v>
      </c>
      <c r="Y823" s="271"/>
      <c r="Z823" s="271"/>
      <c r="AB823" s="273" t="str">
        <f t="shared" si="116"/>
        <v/>
      </c>
    </row>
    <row r="824" spans="1:28" s="272" customFormat="1" ht="19.8">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4"/>
        <v/>
      </c>
      <c r="T824" s="222" t="str">
        <f ca="1">IF(B824="","",IF(ISERROR(MATCH($J824,SorP!$B$1:$B$6230,0)),"",INDIRECT("'SorP'!$A$"&amp;MATCH($J824,SorP!$B$1:$B$6230,0))))</f>
        <v/>
      </c>
      <c r="U824" s="238"/>
      <c r="V824" s="270" t="e">
        <f>IF(C824="",NA(),MATCH($B824&amp;$C824,'Smelter Look-up'!$J:$J,0))</f>
        <v>#N/A</v>
      </c>
      <c r="W824" s="271"/>
      <c r="X824" s="271">
        <f t="shared" ca="1" si="115"/>
        <v>0</v>
      </c>
      <c r="Y824" s="271"/>
      <c r="Z824" s="271"/>
      <c r="AB824" s="273" t="str">
        <f t="shared" si="116"/>
        <v/>
      </c>
    </row>
    <row r="825" spans="1:28" s="272" customFormat="1" ht="19.8">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14"/>
        <v/>
      </c>
      <c r="T825" s="222" t="str">
        <f ca="1">IF(B825="","",IF(ISERROR(MATCH($J825,SorP!$B$1:$B$6230,0)),"",INDIRECT("'SorP'!$A$"&amp;MATCH($J825,SorP!$B$1:$B$6230,0))))</f>
        <v/>
      </c>
      <c r="U825" s="238"/>
      <c r="V825" s="270" t="e">
        <f>IF(C825="",NA(),MATCH($B825&amp;$C825,'Smelter Look-up'!$J:$J,0))</f>
        <v>#N/A</v>
      </c>
      <c r="W825" s="271"/>
      <c r="X825" s="271">
        <f t="shared" ca="1" si="115"/>
        <v>0</v>
      </c>
      <c r="Y825" s="271"/>
      <c r="Z825" s="271"/>
      <c r="AB825" s="273" t="str">
        <f t="shared" si="116"/>
        <v/>
      </c>
    </row>
    <row r="826" spans="1:28" s="272" customFormat="1" ht="19.8">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14"/>
        <v/>
      </c>
      <c r="T826" s="222" t="str">
        <f ca="1">IF(B826="","",IF(ISERROR(MATCH($J826,SorP!$B$1:$B$6230,0)),"",INDIRECT("'SorP'!$A$"&amp;MATCH($J826,SorP!$B$1:$B$6230,0))))</f>
        <v/>
      </c>
      <c r="U826" s="238"/>
      <c r="V826" s="270" t="e">
        <f>IF(C826="",NA(),MATCH($B826&amp;$C826,'Smelter Look-up'!$J:$J,0))</f>
        <v>#N/A</v>
      </c>
      <c r="W826" s="271"/>
      <c r="X826" s="271">
        <f t="shared" ca="1" si="115"/>
        <v>0</v>
      </c>
      <c r="Y826" s="271"/>
      <c r="Z826" s="271"/>
      <c r="AB826" s="273" t="str">
        <f t="shared" si="116"/>
        <v/>
      </c>
    </row>
    <row r="827" spans="1:28" s="272" customFormat="1" ht="19.8">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70" t="e">
        <f>IF(C827="",NA(),MATCH($B827&amp;$C827,'Smelter Look-up'!$J:$J,0))</f>
        <v>#N/A</v>
      </c>
      <c r="W827" s="271"/>
      <c r="X827" s="271">
        <f t="shared" ref="X827" ca="1" si="118">IF(AND(C827="Smelter not listed",OR(LEN(D827)=0,LEN(E827)=0)),1,0)</f>
        <v>0</v>
      </c>
      <c r="Y827" s="271"/>
      <c r="Z827" s="271"/>
      <c r="AB827" s="273" t="str">
        <f t="shared" ref="AB827" si="119">B827&amp;C827</f>
        <v/>
      </c>
    </row>
    <row r="828" spans="1:28" s="272" customFormat="1" ht="19.8">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121">IF(AND(C828="Smelter not listed",OR(LEN(D828)=0,LEN(E828)=0)),1,0)</f>
        <v>0</v>
      </c>
      <c r="Y828" s="271"/>
      <c r="Z828" s="271"/>
      <c r="AB828" s="273" t="str">
        <f t="shared" ref="AB828:AB859" si="122">B828&amp;C828</f>
        <v/>
      </c>
    </row>
    <row r="829" spans="1:28" s="272" customFormat="1" ht="19.8">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19.8">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19.8">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19.8">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19.8">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19.8">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19.8">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19.8">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19.8">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19.8">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19.8">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19.8">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19.8">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19.8">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19.8">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19.8">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19.8">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19.8">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19.8">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19.8">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19.8">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19.8">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19.8">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19.8">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19.8">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19.8">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19.8">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19.8">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19.8">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0"/>
        <v/>
      </c>
      <c r="T857" s="222" t="str">
        <f ca="1">IF(B857="","",IF(ISERROR(MATCH($J857,SorP!$B$1:$B$6230,0)),"",INDIRECT("'SorP'!$A$"&amp;MATCH($J857,SorP!$B$1:$B$6230,0))))</f>
        <v/>
      </c>
      <c r="U857" s="238"/>
      <c r="V857" s="270" t="e">
        <f>IF(C857="",NA(),MATCH($B857&amp;$C857,'Smelter Look-up'!$J:$J,0))</f>
        <v>#N/A</v>
      </c>
      <c r="W857" s="271"/>
      <c r="X857" s="271">
        <f t="shared" ca="1" si="121"/>
        <v>0</v>
      </c>
      <c r="Y857" s="271"/>
      <c r="Z857" s="271"/>
      <c r="AB857" s="273" t="str">
        <f t="shared" si="122"/>
        <v/>
      </c>
    </row>
    <row r="858" spans="1:28" s="272" customFormat="1" ht="19.8">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0"/>
        <v/>
      </c>
      <c r="T858" s="222" t="str">
        <f ca="1">IF(B858="","",IF(ISERROR(MATCH($J858,SorP!$B$1:$B$6230,0)),"",INDIRECT("'SorP'!$A$"&amp;MATCH($J858,SorP!$B$1:$B$6230,0))))</f>
        <v/>
      </c>
      <c r="U858" s="238"/>
      <c r="V858" s="270" t="e">
        <f>IF(C858="",NA(),MATCH($B858&amp;$C858,'Smelter Look-up'!$J:$J,0))</f>
        <v>#N/A</v>
      </c>
      <c r="W858" s="271"/>
      <c r="X858" s="271">
        <f t="shared" ca="1" si="121"/>
        <v>0</v>
      </c>
      <c r="Y858" s="271"/>
      <c r="Z858" s="271"/>
      <c r="AB858" s="273" t="str">
        <f t="shared" si="122"/>
        <v/>
      </c>
    </row>
    <row r="859" spans="1:28" s="272" customFormat="1" ht="19.8">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0"/>
        <v/>
      </c>
      <c r="T859" s="222" t="str">
        <f ca="1">IF(B859="","",IF(ISERROR(MATCH($J859,SorP!$B$1:$B$6230,0)),"",INDIRECT("'SorP'!$A$"&amp;MATCH($J859,SorP!$B$1:$B$6230,0))))</f>
        <v/>
      </c>
      <c r="U859" s="238"/>
      <c r="V859" s="270" t="e">
        <f>IF(C859="",NA(),MATCH($B859&amp;$C859,'Smelter Look-up'!$J:$J,0))</f>
        <v>#N/A</v>
      </c>
      <c r="W859" s="271"/>
      <c r="X859" s="271">
        <f t="shared" ca="1" si="121"/>
        <v>0</v>
      </c>
      <c r="Y859" s="271"/>
      <c r="Z859" s="271"/>
      <c r="AB859" s="273" t="str">
        <f t="shared" si="122"/>
        <v/>
      </c>
    </row>
    <row r="860" spans="1:28" s="272" customFormat="1" ht="19.8">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124">IF(AND(C860="Smelter not listed",OR(LEN(D860)=0,LEN(E860)=0)),1,0)</f>
        <v>0</v>
      </c>
      <c r="Y860" s="271"/>
      <c r="Z860" s="271"/>
      <c r="AB860" s="273" t="str">
        <f t="shared" ref="AB860:AB890" si="125">B860&amp;C860</f>
        <v/>
      </c>
    </row>
    <row r="861" spans="1:28" s="272" customFormat="1" ht="19.8">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19.8">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19.8">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19.8">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19.8">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19.8">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19.8">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19.8">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19.8">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19.8">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19.8">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19.8">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19.8">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19.8">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19.8">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19.8">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19.8">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19.8">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19.8">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19.8">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19.8">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19.8">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19.8">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19.8">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19.8">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19.8">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19.8">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3"/>
        <v/>
      </c>
      <c r="T887" s="222" t="str">
        <f ca="1">IF(B887="","",IF(ISERROR(MATCH($J887,SorP!$B$1:$B$6230,0)),"",INDIRECT("'SorP'!$A$"&amp;MATCH($J887,SorP!$B$1:$B$6230,0))))</f>
        <v/>
      </c>
      <c r="U887" s="238"/>
      <c r="V887" s="270" t="e">
        <f>IF(C887="",NA(),MATCH($B887&amp;$C887,'Smelter Look-up'!$J:$J,0))</f>
        <v>#N/A</v>
      </c>
      <c r="W887" s="271"/>
      <c r="X887" s="271">
        <f t="shared" ca="1" si="124"/>
        <v>0</v>
      </c>
      <c r="Y887" s="271"/>
      <c r="Z887" s="271"/>
      <c r="AB887" s="273" t="str">
        <f t="shared" si="125"/>
        <v/>
      </c>
    </row>
    <row r="888" spans="1:28" s="272" customFormat="1" ht="19.8">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3"/>
        <v/>
      </c>
      <c r="T888" s="222" t="str">
        <f ca="1">IF(B888="","",IF(ISERROR(MATCH($J888,SorP!$B$1:$B$6230,0)),"",INDIRECT("'SorP'!$A$"&amp;MATCH($J888,SorP!$B$1:$B$6230,0))))</f>
        <v/>
      </c>
      <c r="U888" s="238"/>
      <c r="V888" s="270" t="e">
        <f>IF(C888="",NA(),MATCH($B888&amp;$C888,'Smelter Look-up'!$J:$J,0))</f>
        <v>#N/A</v>
      </c>
      <c r="W888" s="271"/>
      <c r="X888" s="271">
        <f t="shared" ca="1" si="124"/>
        <v>0</v>
      </c>
      <c r="Y888" s="271"/>
      <c r="Z888" s="271"/>
      <c r="AB888" s="273" t="str">
        <f t="shared" si="125"/>
        <v/>
      </c>
    </row>
    <row r="889" spans="1:28" s="272" customFormat="1" ht="19.8">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3"/>
        <v/>
      </c>
      <c r="T889" s="222" t="str">
        <f ca="1">IF(B889="","",IF(ISERROR(MATCH($J889,SorP!$B$1:$B$6230,0)),"",INDIRECT("'SorP'!$A$"&amp;MATCH($J889,SorP!$B$1:$B$6230,0))))</f>
        <v/>
      </c>
      <c r="U889" s="238"/>
      <c r="V889" s="270" t="e">
        <f>IF(C889="",NA(),MATCH($B889&amp;$C889,'Smelter Look-up'!$J:$J,0))</f>
        <v>#N/A</v>
      </c>
      <c r="W889" s="271"/>
      <c r="X889" s="271">
        <f t="shared" ca="1" si="124"/>
        <v>0</v>
      </c>
      <c r="Y889" s="271"/>
      <c r="Z889" s="271"/>
      <c r="AB889" s="273" t="str">
        <f t="shared" si="125"/>
        <v/>
      </c>
    </row>
    <row r="890" spans="1:28" s="272" customFormat="1" ht="19.8">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3"/>
        <v/>
      </c>
      <c r="T890" s="222" t="str">
        <f ca="1">IF(B890="","",IF(ISERROR(MATCH($J890,SorP!$B$1:$B$6230,0)),"",INDIRECT("'SorP'!$A$"&amp;MATCH($J890,SorP!$B$1:$B$6230,0))))</f>
        <v/>
      </c>
      <c r="U890" s="238"/>
      <c r="V890" s="270" t="e">
        <f>IF(C890="",NA(),MATCH($B890&amp;$C890,'Smelter Look-up'!$J:$J,0))</f>
        <v>#N/A</v>
      </c>
      <c r="W890" s="271"/>
      <c r="X890" s="271">
        <f t="shared" ca="1" si="124"/>
        <v>0</v>
      </c>
      <c r="Y890" s="271"/>
      <c r="Z890" s="271"/>
      <c r="AB890" s="273" t="str">
        <f t="shared" si="125"/>
        <v/>
      </c>
    </row>
    <row r="891" spans="1:28" s="272" customFormat="1" ht="19.8">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70" t="e">
        <f>IF(C891="",NA(),MATCH($B891&amp;$C891,'Smelter Look-up'!$J:$J,0))</f>
        <v>#N/A</v>
      </c>
      <c r="W891" s="271"/>
      <c r="X891" s="271">
        <f t="shared" ref="X891" ca="1" si="127">IF(AND(C891="Smelter not listed",OR(LEN(D891)=0,LEN(E891)=0)),1,0)</f>
        <v>0</v>
      </c>
      <c r="Y891" s="271"/>
      <c r="Z891" s="271"/>
      <c r="AB891" s="273" t="str">
        <f t="shared" ref="AB891" si="128">B891&amp;C891</f>
        <v/>
      </c>
    </row>
    <row r="892" spans="1:28" s="272" customFormat="1" ht="19.8">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130">IF(AND(C892="Smelter not listed",OR(LEN(D892)=0,LEN(E892)=0)),1,0)</f>
        <v>0</v>
      </c>
      <c r="Y892" s="271"/>
      <c r="Z892" s="271"/>
      <c r="AB892" s="273" t="str">
        <f t="shared" ref="AB892:AB923" si="131">B892&amp;C892</f>
        <v/>
      </c>
    </row>
    <row r="893" spans="1:28" s="272" customFormat="1" ht="19.8">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19.8">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19.8">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19.8">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19.8">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19.8">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19.8">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19.8">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19.8">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19.8">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19.8">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19.8">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19.8">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19.8">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19.8">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19.8">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19.8">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19.8">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19.8">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19.8">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19.8">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19.8">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19.8">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19.8">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19.8">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19.8">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19.8">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19.8">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19.8">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29"/>
        <v/>
      </c>
      <c r="T921" s="222" t="str">
        <f ca="1">IF(B921="","",IF(ISERROR(MATCH($J921,SorP!$B$1:$B$6230,0)),"",INDIRECT("'SorP'!$A$"&amp;MATCH($J921,SorP!$B$1:$B$6230,0))))</f>
        <v/>
      </c>
      <c r="U921" s="238"/>
      <c r="V921" s="270" t="e">
        <f>IF(C921="",NA(),MATCH($B921&amp;$C921,'Smelter Look-up'!$J:$J,0))</f>
        <v>#N/A</v>
      </c>
      <c r="W921" s="271"/>
      <c r="X921" s="271">
        <f t="shared" ca="1" si="130"/>
        <v>0</v>
      </c>
      <c r="Y921" s="271"/>
      <c r="Z921" s="271"/>
      <c r="AB921" s="273" t="str">
        <f t="shared" si="131"/>
        <v/>
      </c>
    </row>
    <row r="922" spans="1:28" s="272" customFormat="1" ht="19.8">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29"/>
        <v/>
      </c>
      <c r="T922" s="222" t="str">
        <f ca="1">IF(B922="","",IF(ISERROR(MATCH($J922,SorP!$B$1:$B$6230,0)),"",INDIRECT("'SorP'!$A$"&amp;MATCH($J922,SorP!$B$1:$B$6230,0))))</f>
        <v/>
      </c>
      <c r="U922" s="238"/>
      <c r="V922" s="270" t="e">
        <f>IF(C922="",NA(),MATCH($B922&amp;$C922,'Smelter Look-up'!$J:$J,0))</f>
        <v>#N/A</v>
      </c>
      <c r="W922" s="271"/>
      <c r="X922" s="271">
        <f t="shared" ca="1" si="130"/>
        <v>0</v>
      </c>
      <c r="Y922" s="271"/>
      <c r="Z922" s="271"/>
      <c r="AB922" s="273" t="str">
        <f t="shared" si="131"/>
        <v/>
      </c>
    </row>
    <row r="923" spans="1:28" s="272" customFormat="1" ht="19.8">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29"/>
        <v/>
      </c>
      <c r="T923" s="222" t="str">
        <f ca="1">IF(B923="","",IF(ISERROR(MATCH($J923,SorP!$B$1:$B$6230,0)),"",INDIRECT("'SorP'!$A$"&amp;MATCH($J923,SorP!$B$1:$B$6230,0))))</f>
        <v/>
      </c>
      <c r="U923" s="238"/>
      <c r="V923" s="270" t="e">
        <f>IF(C923="",NA(),MATCH($B923&amp;$C923,'Smelter Look-up'!$J:$J,0))</f>
        <v>#N/A</v>
      </c>
      <c r="W923" s="271"/>
      <c r="X923" s="271">
        <f t="shared" ca="1" si="130"/>
        <v>0</v>
      </c>
      <c r="Y923" s="271"/>
      <c r="Z923" s="271"/>
      <c r="AB923" s="273" t="str">
        <f t="shared" si="131"/>
        <v/>
      </c>
    </row>
    <row r="924" spans="1:28" s="272" customFormat="1" ht="19.8">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133">IF(AND(C924="Smelter not listed",OR(LEN(D924)=0,LEN(E924)=0)),1,0)</f>
        <v>0</v>
      </c>
      <c r="Y924" s="271"/>
      <c r="Z924" s="271"/>
      <c r="AB924" s="273" t="str">
        <f t="shared" ref="AB924:AB954" si="134">B924&amp;C924</f>
        <v/>
      </c>
    </row>
    <row r="925" spans="1:28" s="272" customFormat="1" ht="19.8">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19.8">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19.8">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19.8">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19.8">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19.8">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19.8">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19.8">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19.8">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19.8">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19.8">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19.8">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19.8">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19.8">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19.8">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19.8">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19.8">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19.8">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19.8">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19.8">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19.8">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19.8">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19.8">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19.8">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19.8">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19.8">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19.8">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2"/>
        <v/>
      </c>
      <c r="T951" s="222" t="str">
        <f ca="1">IF(B951="","",IF(ISERROR(MATCH($J951,SorP!$B$1:$B$6230,0)),"",INDIRECT("'SorP'!$A$"&amp;MATCH($J951,SorP!$B$1:$B$6230,0))))</f>
        <v/>
      </c>
      <c r="U951" s="238"/>
      <c r="V951" s="270" t="e">
        <f>IF(C951="",NA(),MATCH($B951&amp;$C951,'Smelter Look-up'!$J:$J,0))</f>
        <v>#N/A</v>
      </c>
      <c r="W951" s="271"/>
      <c r="X951" s="271">
        <f t="shared" ca="1" si="133"/>
        <v>0</v>
      </c>
      <c r="Y951" s="271"/>
      <c r="Z951" s="271"/>
      <c r="AB951" s="273" t="str">
        <f t="shared" si="134"/>
        <v/>
      </c>
    </row>
    <row r="952" spans="1:28" s="272" customFormat="1" ht="19.8">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2"/>
        <v/>
      </c>
      <c r="T952" s="222" t="str">
        <f ca="1">IF(B952="","",IF(ISERROR(MATCH($J952,SorP!$B$1:$B$6230,0)),"",INDIRECT("'SorP'!$A$"&amp;MATCH($J952,SorP!$B$1:$B$6230,0))))</f>
        <v/>
      </c>
      <c r="U952" s="238"/>
      <c r="V952" s="270" t="e">
        <f>IF(C952="",NA(),MATCH($B952&amp;$C952,'Smelter Look-up'!$J:$J,0))</f>
        <v>#N/A</v>
      </c>
      <c r="W952" s="271"/>
      <c r="X952" s="271">
        <f t="shared" ca="1" si="133"/>
        <v>0</v>
      </c>
      <c r="Y952" s="271"/>
      <c r="Z952" s="271"/>
      <c r="AB952" s="273" t="str">
        <f t="shared" si="134"/>
        <v/>
      </c>
    </row>
    <row r="953" spans="1:28" s="272" customFormat="1" ht="19.8">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2"/>
        <v/>
      </c>
      <c r="T953" s="222" t="str">
        <f ca="1">IF(B953="","",IF(ISERROR(MATCH($J953,SorP!$B$1:$B$6230,0)),"",INDIRECT("'SorP'!$A$"&amp;MATCH($J953,SorP!$B$1:$B$6230,0))))</f>
        <v/>
      </c>
      <c r="U953" s="238"/>
      <c r="V953" s="270" t="e">
        <f>IF(C953="",NA(),MATCH($B953&amp;$C953,'Smelter Look-up'!$J:$J,0))</f>
        <v>#N/A</v>
      </c>
      <c r="W953" s="271"/>
      <c r="X953" s="271">
        <f t="shared" ca="1" si="133"/>
        <v>0</v>
      </c>
      <c r="Y953" s="271"/>
      <c r="Z953" s="271"/>
      <c r="AB953" s="273" t="str">
        <f t="shared" si="134"/>
        <v/>
      </c>
    </row>
    <row r="954" spans="1:28" s="272" customFormat="1" ht="19.8">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2"/>
        <v/>
      </c>
      <c r="T954" s="222" t="str">
        <f ca="1">IF(B954="","",IF(ISERROR(MATCH($J954,SorP!$B$1:$B$6230,0)),"",INDIRECT("'SorP'!$A$"&amp;MATCH($J954,SorP!$B$1:$B$6230,0))))</f>
        <v/>
      </c>
      <c r="U954" s="238"/>
      <c r="V954" s="270" t="e">
        <f>IF(C954="",NA(),MATCH($B954&amp;$C954,'Smelter Look-up'!$J:$J,0))</f>
        <v>#N/A</v>
      </c>
      <c r="W954" s="271"/>
      <c r="X954" s="271">
        <f t="shared" ca="1" si="133"/>
        <v>0</v>
      </c>
      <c r="Y954" s="271"/>
      <c r="Z954" s="271"/>
      <c r="AB954" s="273" t="str">
        <f t="shared" si="134"/>
        <v/>
      </c>
    </row>
    <row r="955" spans="1:28" s="272" customFormat="1" ht="19.8">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70" t="e">
        <f>IF(C955="",NA(),MATCH($B955&amp;$C955,'Smelter Look-up'!$J:$J,0))</f>
        <v>#N/A</v>
      </c>
      <c r="W955" s="271"/>
      <c r="X955" s="271">
        <f t="shared" ref="X955" ca="1" si="136">IF(AND(C955="Smelter not listed",OR(LEN(D955)=0,LEN(E955)=0)),1,0)</f>
        <v>0</v>
      </c>
      <c r="Y955" s="271"/>
      <c r="Z955" s="271"/>
      <c r="AB955" s="273" t="str">
        <f t="shared" ref="AB955" si="137">B955&amp;C955</f>
        <v/>
      </c>
    </row>
    <row r="956" spans="1:28" s="272" customFormat="1" ht="19.8">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139">IF(AND(C956="Smelter not listed",OR(LEN(D956)=0,LEN(E956)=0)),1,0)</f>
        <v>0</v>
      </c>
      <c r="Y956" s="271"/>
      <c r="Z956" s="271"/>
      <c r="AB956" s="273" t="str">
        <f t="shared" ref="AB956:AB987" si="140">B956&amp;C956</f>
        <v/>
      </c>
    </row>
    <row r="957" spans="1:28" s="272" customFormat="1" ht="19.8">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19.8">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19.8">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19.8">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19.8">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19.8">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19.8">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19.8">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19.8">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19.8">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19.8">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19.8">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19.8">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19.8">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19.8">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19.8">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19.8">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19.8">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19.8">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19.8">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19.8">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19.8">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19.8">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19.8">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19.8">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19.8">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19.8">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19.8">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19.8">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38"/>
        <v/>
      </c>
      <c r="T985" s="222" t="str">
        <f ca="1">IF(B985="","",IF(ISERROR(MATCH($J985,SorP!$B$1:$B$6230,0)),"",INDIRECT("'SorP'!$A$"&amp;MATCH($J985,SorP!$B$1:$B$6230,0))))</f>
        <v/>
      </c>
      <c r="U985" s="238"/>
      <c r="V985" s="270" t="e">
        <f>IF(C985="",NA(),MATCH($B985&amp;$C985,'Smelter Look-up'!$J:$J,0))</f>
        <v>#N/A</v>
      </c>
      <c r="W985" s="271"/>
      <c r="X985" s="271">
        <f t="shared" ca="1" si="139"/>
        <v>0</v>
      </c>
      <c r="Y985" s="271"/>
      <c r="Z985" s="271"/>
      <c r="AB985" s="273" t="str">
        <f t="shared" si="140"/>
        <v/>
      </c>
    </row>
    <row r="986" spans="1:28" s="272" customFormat="1" ht="19.8">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38"/>
        <v/>
      </c>
      <c r="T986" s="222" t="str">
        <f ca="1">IF(B986="","",IF(ISERROR(MATCH($J986,SorP!$B$1:$B$6230,0)),"",INDIRECT("'SorP'!$A$"&amp;MATCH($J986,SorP!$B$1:$B$6230,0))))</f>
        <v/>
      </c>
      <c r="U986" s="238"/>
      <c r="V986" s="270" t="e">
        <f>IF(C986="",NA(),MATCH($B986&amp;$C986,'Smelter Look-up'!$J:$J,0))</f>
        <v>#N/A</v>
      </c>
      <c r="W986" s="271"/>
      <c r="X986" s="271">
        <f t="shared" ca="1" si="139"/>
        <v>0</v>
      </c>
      <c r="Y986" s="271"/>
      <c r="Z986" s="271"/>
      <c r="AB986" s="273" t="str">
        <f t="shared" si="140"/>
        <v/>
      </c>
    </row>
    <row r="987" spans="1:28" s="272" customFormat="1" ht="19.8">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38"/>
        <v/>
      </c>
      <c r="T987" s="222" t="str">
        <f ca="1">IF(B987="","",IF(ISERROR(MATCH($J987,SorP!$B$1:$B$6230,0)),"",INDIRECT("'SorP'!$A$"&amp;MATCH($J987,SorP!$B$1:$B$6230,0))))</f>
        <v/>
      </c>
      <c r="U987" s="238"/>
      <c r="V987" s="270" t="e">
        <f>IF(C987="",NA(),MATCH($B987&amp;$C987,'Smelter Look-up'!$J:$J,0))</f>
        <v>#N/A</v>
      </c>
      <c r="W987" s="271"/>
      <c r="X987" s="271">
        <f t="shared" ca="1" si="139"/>
        <v>0</v>
      </c>
      <c r="Y987" s="271"/>
      <c r="Z987" s="271"/>
      <c r="AB987" s="273" t="str">
        <f t="shared" si="140"/>
        <v/>
      </c>
    </row>
    <row r="988" spans="1:28" s="272" customFormat="1" ht="19.8">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142">IF(AND(C988="Smelter not listed",OR(LEN(D988)=0,LEN(E988)=0)),1,0)</f>
        <v>0</v>
      </c>
      <c r="Y988" s="271"/>
      <c r="Z988" s="271"/>
      <c r="AB988" s="273" t="str">
        <f t="shared" ref="AB988:AB1018" si="143">B988&amp;C988</f>
        <v/>
      </c>
    </row>
    <row r="989" spans="1:28" s="272" customFormat="1" ht="19.8">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19.8">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19.8">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19.8">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19.8">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19.8">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19.8">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19.8">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19.8">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19.8">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19.8">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19.8">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19.8">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19.8">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19.8">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19.8">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19.8">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19.8">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19.8">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19.8">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19.8">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19.8">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19.8">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19.8">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19.8">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19.8">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19.8">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1"/>
        <v/>
      </c>
      <c r="T1015" s="222" t="str">
        <f ca="1">IF(B1015="","",IF(ISERROR(MATCH($J1015,SorP!$B$1:$B$6230,0)),"",INDIRECT("'SorP'!$A$"&amp;MATCH($J1015,SorP!$B$1:$B$6230,0))))</f>
        <v/>
      </c>
      <c r="U1015" s="238"/>
      <c r="V1015" s="270" t="e">
        <f>IF(C1015="",NA(),MATCH($B1015&amp;$C1015,'Smelter Look-up'!$J:$J,0))</f>
        <v>#N/A</v>
      </c>
      <c r="W1015" s="271"/>
      <c r="X1015" s="271">
        <f t="shared" ca="1" si="142"/>
        <v>0</v>
      </c>
      <c r="Y1015" s="271"/>
      <c r="Z1015" s="271"/>
      <c r="AB1015" s="273" t="str">
        <f t="shared" si="143"/>
        <v/>
      </c>
    </row>
    <row r="1016" spans="1:28" s="272" customFormat="1" ht="19.8">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1"/>
        <v/>
      </c>
      <c r="T1016" s="222" t="str">
        <f ca="1">IF(B1016="","",IF(ISERROR(MATCH($J1016,SorP!$B$1:$B$6230,0)),"",INDIRECT("'SorP'!$A$"&amp;MATCH($J1016,SorP!$B$1:$B$6230,0))))</f>
        <v/>
      </c>
      <c r="U1016" s="238"/>
      <c r="V1016" s="270" t="e">
        <f>IF(C1016="",NA(),MATCH($B1016&amp;$C1016,'Smelter Look-up'!$J:$J,0))</f>
        <v>#N/A</v>
      </c>
      <c r="W1016" s="271"/>
      <c r="X1016" s="271">
        <f t="shared" ca="1" si="142"/>
        <v>0</v>
      </c>
      <c r="Y1016" s="271"/>
      <c r="Z1016" s="271"/>
      <c r="AB1016" s="273" t="str">
        <f t="shared" si="143"/>
        <v/>
      </c>
    </row>
    <row r="1017" spans="1:28" s="272" customFormat="1" ht="19.8">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1"/>
        <v/>
      </c>
      <c r="T1017" s="222" t="str">
        <f ca="1">IF(B1017="","",IF(ISERROR(MATCH($J1017,SorP!$B$1:$B$6230,0)),"",INDIRECT("'SorP'!$A$"&amp;MATCH($J1017,SorP!$B$1:$B$6230,0))))</f>
        <v/>
      </c>
      <c r="U1017" s="238"/>
      <c r="V1017" s="270" t="e">
        <f>IF(C1017="",NA(),MATCH($B1017&amp;$C1017,'Smelter Look-up'!$J:$J,0))</f>
        <v>#N/A</v>
      </c>
      <c r="W1017" s="271"/>
      <c r="X1017" s="271">
        <f t="shared" ca="1" si="142"/>
        <v>0</v>
      </c>
      <c r="Y1017" s="271"/>
      <c r="Z1017" s="271"/>
      <c r="AB1017" s="273" t="str">
        <f t="shared" si="143"/>
        <v/>
      </c>
    </row>
    <row r="1018" spans="1:28" s="272" customFormat="1" ht="19.8">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1"/>
        <v/>
      </c>
      <c r="T1018" s="222" t="str">
        <f ca="1">IF(B1018="","",IF(ISERROR(MATCH($J1018,SorP!$B$1:$B$6230,0)),"",INDIRECT("'SorP'!$A$"&amp;MATCH($J1018,SorP!$B$1:$B$6230,0))))</f>
        <v/>
      </c>
      <c r="U1018" s="238"/>
      <c r="V1018" s="270" t="e">
        <f>IF(C1018="",NA(),MATCH($B1018&amp;$C1018,'Smelter Look-up'!$J:$J,0))</f>
        <v>#N/A</v>
      </c>
      <c r="W1018" s="271"/>
      <c r="X1018" s="271">
        <f t="shared" ca="1" si="142"/>
        <v>0</v>
      </c>
      <c r="Y1018" s="271"/>
      <c r="Z1018" s="271"/>
      <c r="AB1018" s="273" t="str">
        <f t="shared" si="143"/>
        <v/>
      </c>
    </row>
    <row r="1019" spans="1:28" s="272" customFormat="1" ht="19.8">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t="shared" ref="X1019" ca="1" si="145">IF(AND(C1019="Smelter not listed",OR(LEN(D1019)=0,LEN(E1019)=0)),1,0)</f>
        <v>0</v>
      </c>
      <c r="Y1019" s="271"/>
      <c r="Z1019" s="271"/>
      <c r="AB1019" s="273" t="str">
        <f t="shared" ref="AB1019" si="146">B1019&amp;C1019</f>
        <v/>
      </c>
    </row>
    <row r="1020" spans="1:28" s="272" customFormat="1" ht="19.8">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148">IF(AND(C1020="Smelter not listed",OR(LEN(D1020)=0,LEN(E1020)=0)),1,0)</f>
        <v>0</v>
      </c>
      <c r="Y1020" s="271"/>
      <c r="Z1020" s="271"/>
      <c r="AB1020" s="273" t="str">
        <f t="shared" ref="AB1020:AB1051" si="149">B1020&amp;C1020</f>
        <v/>
      </c>
    </row>
    <row r="1021" spans="1:28" s="272" customFormat="1" ht="19.8">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19.8">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19.8">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19.8">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19.8">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19.8">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19.8">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19.8">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19.8">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19.8">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19.8">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19.8">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19.8">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19.8">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19.8">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19.8">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19.8">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19.8">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19.8">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19.8">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19.8">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19.8">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19.8">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19.8">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19.8">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19.8">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19.8">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19.8">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19.8">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7"/>
        <v/>
      </c>
      <c r="T1049" s="222" t="str">
        <f ca="1">IF(B1049="","",IF(ISERROR(MATCH($J1049,SorP!$B$1:$B$6230,0)),"",INDIRECT("'SorP'!$A$"&amp;MATCH($J1049,SorP!$B$1:$B$6230,0))))</f>
        <v/>
      </c>
      <c r="U1049" s="238"/>
      <c r="V1049" s="270" t="e">
        <f>IF(C1049="",NA(),MATCH($B1049&amp;$C1049,'Smelter Look-up'!$J:$J,0))</f>
        <v>#N/A</v>
      </c>
      <c r="W1049" s="271"/>
      <c r="X1049" s="271">
        <f t="shared" ca="1" si="148"/>
        <v>0</v>
      </c>
      <c r="Y1049" s="271"/>
      <c r="Z1049" s="271"/>
      <c r="AB1049" s="273" t="str">
        <f t="shared" si="149"/>
        <v/>
      </c>
    </row>
    <row r="1050" spans="1:28" s="272" customFormat="1" ht="19.8">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47"/>
        <v/>
      </c>
      <c r="T1050" s="222" t="str">
        <f ca="1">IF(B1050="","",IF(ISERROR(MATCH($J1050,SorP!$B$1:$B$6230,0)),"",INDIRECT("'SorP'!$A$"&amp;MATCH($J1050,SorP!$B$1:$B$6230,0))))</f>
        <v/>
      </c>
      <c r="U1050" s="238"/>
      <c r="V1050" s="270" t="e">
        <f>IF(C1050="",NA(),MATCH($B1050&amp;$C1050,'Smelter Look-up'!$J:$J,0))</f>
        <v>#N/A</v>
      </c>
      <c r="W1050" s="271"/>
      <c r="X1050" s="271">
        <f t="shared" ca="1" si="148"/>
        <v>0</v>
      </c>
      <c r="Y1050" s="271"/>
      <c r="Z1050" s="271"/>
      <c r="AB1050" s="273" t="str">
        <f t="shared" si="149"/>
        <v/>
      </c>
    </row>
    <row r="1051" spans="1:28" s="272" customFormat="1" ht="19.8">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47"/>
        <v/>
      </c>
      <c r="T1051" s="222" t="str">
        <f ca="1">IF(B1051="","",IF(ISERROR(MATCH($J1051,SorP!$B$1:$B$6230,0)),"",INDIRECT("'SorP'!$A$"&amp;MATCH($J1051,SorP!$B$1:$B$6230,0))))</f>
        <v/>
      </c>
      <c r="U1051" s="238"/>
      <c r="V1051" s="270" t="e">
        <f>IF(C1051="",NA(),MATCH($B1051&amp;$C1051,'Smelter Look-up'!$J:$J,0))</f>
        <v>#N/A</v>
      </c>
      <c r="W1051" s="271"/>
      <c r="X1051" s="271">
        <f t="shared" ca="1" si="148"/>
        <v>0</v>
      </c>
      <c r="Y1051" s="271"/>
      <c r="Z1051" s="271"/>
      <c r="AB1051" s="273" t="str">
        <f t="shared" si="149"/>
        <v/>
      </c>
    </row>
    <row r="1052" spans="1:28" s="272" customFormat="1" ht="19.8">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51">IF(AND(C1052="Smelter not listed",OR(LEN(D1052)=0,LEN(E1052)=0)),1,0)</f>
        <v>0</v>
      </c>
      <c r="Y1052" s="271"/>
      <c r="Z1052" s="271"/>
      <c r="AB1052" s="273" t="str">
        <f t="shared" ref="AB1052:AB1082" si="152">B1052&amp;C1052</f>
        <v/>
      </c>
    </row>
    <row r="1053" spans="1:28" s="272" customFormat="1" ht="19.8">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19.8">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19.8">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19.8">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19.8">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19.8">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19.8">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19.8">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19.8">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19.8">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19.8">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19.8">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19.8">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19.8">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19.8">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19.8">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19.8">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19.8">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19.8">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19.8">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19.8">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19.8">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19.8">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19.8">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19.8">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19.8">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19.8">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0"/>
        <v/>
      </c>
      <c r="T1079" s="222" t="str">
        <f ca="1">IF(B1079="","",IF(ISERROR(MATCH($J1079,SorP!$B$1:$B$6230,0)),"",INDIRECT("'SorP'!$A$"&amp;MATCH($J1079,SorP!$B$1:$B$6230,0))))</f>
        <v/>
      </c>
      <c r="U1079" s="238"/>
      <c r="V1079" s="270" t="e">
        <f>IF(C1079="",NA(),MATCH($B1079&amp;$C1079,'Smelter Look-up'!$J:$J,0))</f>
        <v>#N/A</v>
      </c>
      <c r="W1079" s="271"/>
      <c r="X1079" s="271">
        <f t="shared" ca="1" si="151"/>
        <v>0</v>
      </c>
      <c r="Y1079" s="271"/>
      <c r="Z1079" s="271"/>
      <c r="AB1079" s="273" t="str">
        <f t="shared" si="152"/>
        <v/>
      </c>
    </row>
    <row r="1080" spans="1:28" s="272" customFormat="1" ht="19.8">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0"/>
        <v/>
      </c>
      <c r="T1080" s="222" t="str">
        <f ca="1">IF(B1080="","",IF(ISERROR(MATCH($J1080,SorP!$B$1:$B$6230,0)),"",INDIRECT("'SorP'!$A$"&amp;MATCH($J1080,SorP!$B$1:$B$6230,0))))</f>
        <v/>
      </c>
      <c r="U1080" s="238"/>
      <c r="V1080" s="270" t="e">
        <f>IF(C1080="",NA(),MATCH($B1080&amp;$C1080,'Smelter Look-up'!$J:$J,0))</f>
        <v>#N/A</v>
      </c>
      <c r="W1080" s="271"/>
      <c r="X1080" s="271">
        <f t="shared" ca="1" si="151"/>
        <v>0</v>
      </c>
      <c r="Y1080" s="271"/>
      <c r="Z1080" s="271"/>
      <c r="AB1080" s="273" t="str">
        <f t="shared" si="152"/>
        <v/>
      </c>
    </row>
    <row r="1081" spans="1:28" s="272" customFormat="1" ht="19.8">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0"/>
        <v/>
      </c>
      <c r="T1081" s="222" t="str">
        <f ca="1">IF(B1081="","",IF(ISERROR(MATCH($J1081,SorP!$B$1:$B$6230,0)),"",INDIRECT("'SorP'!$A$"&amp;MATCH($J1081,SorP!$B$1:$B$6230,0))))</f>
        <v/>
      </c>
      <c r="U1081" s="238"/>
      <c r="V1081" s="270" t="e">
        <f>IF(C1081="",NA(),MATCH($B1081&amp;$C1081,'Smelter Look-up'!$J:$J,0))</f>
        <v>#N/A</v>
      </c>
      <c r="W1081" s="271"/>
      <c r="X1081" s="271">
        <f t="shared" ca="1" si="151"/>
        <v>0</v>
      </c>
      <c r="Y1081" s="271"/>
      <c r="Z1081" s="271"/>
      <c r="AB1081" s="273" t="str">
        <f t="shared" si="152"/>
        <v/>
      </c>
    </row>
    <row r="1082" spans="1:28" s="272" customFormat="1" ht="19.8">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0"/>
        <v/>
      </c>
      <c r="T1082" s="222" t="str">
        <f ca="1">IF(B1082="","",IF(ISERROR(MATCH($J1082,SorP!$B$1:$B$6230,0)),"",INDIRECT("'SorP'!$A$"&amp;MATCH($J1082,SorP!$B$1:$B$6230,0))))</f>
        <v/>
      </c>
      <c r="U1082" s="238"/>
      <c r="V1082" s="270" t="e">
        <f>IF(C1082="",NA(),MATCH($B1082&amp;$C1082,'Smelter Look-up'!$J:$J,0))</f>
        <v>#N/A</v>
      </c>
      <c r="W1082" s="271"/>
      <c r="X1082" s="271">
        <f t="shared" ca="1" si="151"/>
        <v>0</v>
      </c>
      <c r="Y1082" s="271"/>
      <c r="Z1082" s="271"/>
      <c r="AB1082" s="273" t="str">
        <f t="shared" si="152"/>
        <v/>
      </c>
    </row>
    <row r="1083" spans="1:28" s="272" customFormat="1" ht="19.8">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t="shared" ref="X1083" ca="1" si="154">IF(AND(C1083="Smelter not listed",OR(LEN(D1083)=0,LEN(E1083)=0)),1,0)</f>
        <v>0</v>
      </c>
      <c r="Y1083" s="271"/>
      <c r="Z1083" s="271"/>
      <c r="AB1083" s="273" t="str">
        <f t="shared" ref="AB1083" si="155">B1083&amp;C1083</f>
        <v/>
      </c>
    </row>
    <row r="1084" spans="1:28" s="272" customFormat="1" ht="19.8">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57">IF(AND(C1084="Smelter not listed",OR(LEN(D1084)=0,LEN(E1084)=0)),1,0)</f>
        <v>0</v>
      </c>
      <c r="Y1084" s="271"/>
      <c r="Z1084" s="271"/>
      <c r="AB1084" s="273" t="str">
        <f t="shared" ref="AB1084:AB1115" si="158">B1084&amp;C1084</f>
        <v/>
      </c>
    </row>
    <row r="1085" spans="1:28" s="272" customFormat="1" ht="19.8">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19.8">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19.8">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19.8">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19.8">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19.8">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19.8">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19.8">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19.8">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19.8">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19.8">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19.8">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19.8">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19.8">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19.8">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19.8">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19.8">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19.8">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19.8">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19.8">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19.8">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19.8">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19.8">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19.8">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19.8">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19.8">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19.8">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19.8">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19.8">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6"/>
        <v/>
      </c>
      <c r="T1113" s="222" t="str">
        <f ca="1">IF(B1113="","",IF(ISERROR(MATCH($J1113,SorP!$B$1:$B$6230,0)),"",INDIRECT("'SorP'!$A$"&amp;MATCH($J1113,SorP!$B$1:$B$6230,0))))</f>
        <v/>
      </c>
      <c r="U1113" s="238"/>
      <c r="V1113" s="270" t="e">
        <f>IF(C1113="",NA(),MATCH($B1113&amp;$C1113,'Smelter Look-up'!$J:$J,0))</f>
        <v>#N/A</v>
      </c>
      <c r="W1113" s="271"/>
      <c r="X1113" s="271">
        <f t="shared" ca="1" si="157"/>
        <v>0</v>
      </c>
      <c r="Y1113" s="271"/>
      <c r="Z1113" s="271"/>
      <c r="AB1113" s="273" t="str">
        <f t="shared" si="158"/>
        <v/>
      </c>
    </row>
    <row r="1114" spans="1:28" s="272" customFormat="1" ht="19.8">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6"/>
        <v/>
      </c>
      <c r="T1114" s="222" t="str">
        <f ca="1">IF(B1114="","",IF(ISERROR(MATCH($J1114,SorP!$B$1:$B$6230,0)),"",INDIRECT("'SorP'!$A$"&amp;MATCH($J1114,SorP!$B$1:$B$6230,0))))</f>
        <v/>
      </c>
      <c r="U1114" s="238"/>
      <c r="V1114" s="270" t="e">
        <f>IF(C1114="",NA(),MATCH($B1114&amp;$C1114,'Smelter Look-up'!$J:$J,0))</f>
        <v>#N/A</v>
      </c>
      <c r="W1114" s="271"/>
      <c r="X1114" s="271">
        <f t="shared" ca="1" si="157"/>
        <v>0</v>
      </c>
      <c r="Y1114" s="271"/>
      <c r="Z1114" s="271"/>
      <c r="AB1114" s="273" t="str">
        <f t="shared" si="158"/>
        <v/>
      </c>
    </row>
    <row r="1115" spans="1:28" s="272" customFormat="1" ht="19.8">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6"/>
        <v/>
      </c>
      <c r="T1115" s="222" t="str">
        <f ca="1">IF(B1115="","",IF(ISERROR(MATCH($J1115,SorP!$B$1:$B$6230,0)),"",INDIRECT("'SorP'!$A$"&amp;MATCH($J1115,SorP!$B$1:$B$6230,0))))</f>
        <v/>
      </c>
      <c r="U1115" s="238"/>
      <c r="V1115" s="270" t="e">
        <f>IF(C1115="",NA(),MATCH($B1115&amp;$C1115,'Smelter Look-up'!$J:$J,0))</f>
        <v>#N/A</v>
      </c>
      <c r="W1115" s="271"/>
      <c r="X1115" s="271">
        <f t="shared" ca="1" si="157"/>
        <v>0</v>
      </c>
      <c r="Y1115" s="271"/>
      <c r="Z1115" s="271"/>
      <c r="AB1115" s="273" t="str">
        <f t="shared" si="158"/>
        <v/>
      </c>
    </row>
    <row r="1116" spans="1:28" s="272" customFormat="1" ht="19.8">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60">IF(AND(C1116="Smelter not listed",OR(LEN(D1116)=0,LEN(E1116)=0)),1,0)</f>
        <v>0</v>
      </c>
      <c r="Y1116" s="271"/>
      <c r="Z1116" s="271"/>
      <c r="AB1116" s="273" t="str">
        <f t="shared" ref="AB1116:AB1146" si="161">B1116&amp;C1116</f>
        <v/>
      </c>
    </row>
    <row r="1117" spans="1:28" s="272" customFormat="1" ht="19.8">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19.8">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19.8">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19.8">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19.8">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19.8">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19.8">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19.8">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19.8">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19.8">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19.8">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19.8">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19.8">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19.8">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19.8">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19.8">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19.8">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19.8">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19.8">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19.8">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19.8">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19.8">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19.8">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19.8">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19.8">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19.8">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19.8">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59"/>
        <v/>
      </c>
      <c r="T1143" s="222" t="str">
        <f ca="1">IF(B1143="","",IF(ISERROR(MATCH($J1143,SorP!$B$1:$B$6230,0)),"",INDIRECT("'SorP'!$A$"&amp;MATCH($J1143,SorP!$B$1:$B$6230,0))))</f>
        <v/>
      </c>
      <c r="U1143" s="238"/>
      <c r="V1143" s="270" t="e">
        <f>IF(C1143="",NA(),MATCH($B1143&amp;$C1143,'Smelter Look-up'!$J:$J,0))</f>
        <v>#N/A</v>
      </c>
      <c r="W1143" s="271"/>
      <c r="X1143" s="271">
        <f t="shared" ca="1" si="160"/>
        <v>0</v>
      </c>
      <c r="Y1143" s="271"/>
      <c r="Z1143" s="271"/>
      <c r="AB1143" s="273" t="str">
        <f t="shared" si="161"/>
        <v/>
      </c>
    </row>
    <row r="1144" spans="1:28" s="272" customFormat="1" ht="19.8">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59"/>
        <v/>
      </c>
      <c r="T1144" s="222" t="str">
        <f ca="1">IF(B1144="","",IF(ISERROR(MATCH($J1144,SorP!$B$1:$B$6230,0)),"",INDIRECT("'SorP'!$A$"&amp;MATCH($J1144,SorP!$B$1:$B$6230,0))))</f>
        <v/>
      </c>
      <c r="U1144" s="238"/>
      <c r="V1144" s="270" t="e">
        <f>IF(C1144="",NA(),MATCH($B1144&amp;$C1144,'Smelter Look-up'!$J:$J,0))</f>
        <v>#N/A</v>
      </c>
      <c r="W1144" s="271"/>
      <c r="X1144" s="271">
        <f t="shared" ca="1" si="160"/>
        <v>0</v>
      </c>
      <c r="Y1144" s="271"/>
      <c r="Z1144" s="271"/>
      <c r="AB1144" s="273" t="str">
        <f t="shared" si="161"/>
        <v/>
      </c>
    </row>
    <row r="1145" spans="1:28" s="272" customFormat="1" ht="19.8">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59"/>
        <v/>
      </c>
      <c r="T1145" s="222" t="str">
        <f ca="1">IF(B1145="","",IF(ISERROR(MATCH($J1145,SorP!$B$1:$B$6230,0)),"",INDIRECT("'SorP'!$A$"&amp;MATCH($J1145,SorP!$B$1:$B$6230,0))))</f>
        <v/>
      </c>
      <c r="U1145" s="238"/>
      <c r="V1145" s="270" t="e">
        <f>IF(C1145="",NA(),MATCH($B1145&amp;$C1145,'Smelter Look-up'!$J:$J,0))</f>
        <v>#N/A</v>
      </c>
      <c r="W1145" s="271"/>
      <c r="X1145" s="271">
        <f t="shared" ca="1" si="160"/>
        <v>0</v>
      </c>
      <c r="Y1145" s="271"/>
      <c r="Z1145" s="271"/>
      <c r="AB1145" s="273" t="str">
        <f t="shared" si="161"/>
        <v/>
      </c>
    </row>
    <row r="1146" spans="1:28" s="272" customFormat="1" ht="19.8">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59"/>
        <v/>
      </c>
      <c r="T1146" s="222" t="str">
        <f ca="1">IF(B1146="","",IF(ISERROR(MATCH($J1146,SorP!$B$1:$B$6230,0)),"",INDIRECT("'SorP'!$A$"&amp;MATCH($J1146,SorP!$B$1:$B$6230,0))))</f>
        <v/>
      </c>
      <c r="U1146" s="238"/>
      <c r="V1146" s="270" t="e">
        <f>IF(C1146="",NA(),MATCH($B1146&amp;$C1146,'Smelter Look-up'!$J:$J,0))</f>
        <v>#N/A</v>
      </c>
      <c r="W1146" s="271"/>
      <c r="X1146" s="271">
        <f t="shared" ca="1" si="160"/>
        <v>0</v>
      </c>
      <c r="Y1146" s="271"/>
      <c r="Z1146" s="271"/>
      <c r="AB1146" s="273" t="str">
        <f t="shared" si="161"/>
        <v/>
      </c>
    </row>
    <row r="1147" spans="1:28" s="272" customFormat="1" ht="19.8">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t="shared" ref="X1147" ca="1" si="163">IF(AND(C1147="Smelter not listed",OR(LEN(D1147)=0,LEN(E1147)=0)),1,0)</f>
        <v>0</v>
      </c>
      <c r="Y1147" s="271"/>
      <c r="Z1147" s="271"/>
      <c r="AB1147" s="273" t="str">
        <f t="shared" ref="AB1147" si="164">B1147&amp;C1147</f>
        <v/>
      </c>
    </row>
    <row r="1148" spans="1:28" s="272" customFormat="1" ht="19.8">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66">IF(AND(C1148="Smelter not listed",OR(LEN(D1148)=0,LEN(E1148)=0)),1,0)</f>
        <v>0</v>
      </c>
      <c r="Y1148" s="271"/>
      <c r="Z1148" s="271"/>
      <c r="AB1148" s="273" t="str">
        <f t="shared" ref="AB1148:AB1179" si="167">B1148&amp;C1148</f>
        <v/>
      </c>
    </row>
    <row r="1149" spans="1:28" s="272" customFormat="1" ht="19.8">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19.8">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19.8">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19.8">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19.8">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19.8">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19.8">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19.8">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19.8">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19.8">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19.8">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19.8">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19.8">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19.8">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19.8">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19.8">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19.8">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19.8">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19.8">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19.8">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19.8">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19.8">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19.8">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19.8">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19.8">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19.8">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19.8">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19.8">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19.8">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5"/>
        <v/>
      </c>
      <c r="T1177" s="222" t="str">
        <f ca="1">IF(B1177="","",IF(ISERROR(MATCH($J1177,SorP!$B$1:$B$6230,0)),"",INDIRECT("'SorP'!$A$"&amp;MATCH($J1177,SorP!$B$1:$B$6230,0))))</f>
        <v/>
      </c>
      <c r="U1177" s="238"/>
      <c r="V1177" s="270" t="e">
        <f>IF(C1177="",NA(),MATCH($B1177&amp;$C1177,'Smelter Look-up'!$J:$J,0))</f>
        <v>#N/A</v>
      </c>
      <c r="W1177" s="271"/>
      <c r="X1177" s="271">
        <f t="shared" ca="1" si="166"/>
        <v>0</v>
      </c>
      <c r="Y1177" s="271"/>
      <c r="Z1177" s="271"/>
      <c r="AB1177" s="273" t="str">
        <f t="shared" si="167"/>
        <v/>
      </c>
    </row>
    <row r="1178" spans="1:28" s="272" customFormat="1" ht="19.8">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5"/>
        <v/>
      </c>
      <c r="T1178" s="222" t="str">
        <f ca="1">IF(B1178="","",IF(ISERROR(MATCH($J1178,SorP!$B$1:$B$6230,0)),"",INDIRECT("'SorP'!$A$"&amp;MATCH($J1178,SorP!$B$1:$B$6230,0))))</f>
        <v/>
      </c>
      <c r="U1178" s="238"/>
      <c r="V1178" s="270" t="e">
        <f>IF(C1178="",NA(),MATCH($B1178&amp;$C1178,'Smelter Look-up'!$J:$J,0))</f>
        <v>#N/A</v>
      </c>
      <c r="W1178" s="271"/>
      <c r="X1178" s="271">
        <f t="shared" ca="1" si="166"/>
        <v>0</v>
      </c>
      <c r="Y1178" s="271"/>
      <c r="Z1178" s="271"/>
      <c r="AB1178" s="273" t="str">
        <f t="shared" si="167"/>
        <v/>
      </c>
    </row>
    <row r="1179" spans="1:28" s="272" customFormat="1" ht="19.8">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5"/>
        <v/>
      </c>
      <c r="T1179" s="222" t="str">
        <f ca="1">IF(B1179="","",IF(ISERROR(MATCH($J1179,SorP!$B$1:$B$6230,0)),"",INDIRECT("'SorP'!$A$"&amp;MATCH($J1179,SorP!$B$1:$B$6230,0))))</f>
        <v/>
      </c>
      <c r="U1179" s="238"/>
      <c r="V1179" s="270" t="e">
        <f>IF(C1179="",NA(),MATCH($B1179&amp;$C1179,'Smelter Look-up'!$J:$J,0))</f>
        <v>#N/A</v>
      </c>
      <c r="W1179" s="271"/>
      <c r="X1179" s="271">
        <f t="shared" ca="1" si="166"/>
        <v>0</v>
      </c>
      <c r="Y1179" s="271"/>
      <c r="Z1179" s="271"/>
      <c r="AB1179" s="273" t="str">
        <f t="shared" si="167"/>
        <v/>
      </c>
    </row>
    <row r="1180" spans="1:28" s="272" customFormat="1" ht="19.8">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69">IF(AND(C1180="Smelter not listed",OR(LEN(D1180)=0,LEN(E1180)=0)),1,0)</f>
        <v>0</v>
      </c>
      <c r="Y1180" s="271"/>
      <c r="Z1180" s="271"/>
      <c r="AB1180" s="273" t="str">
        <f t="shared" ref="AB1180:AB1210" si="170">B1180&amp;C1180</f>
        <v/>
      </c>
    </row>
    <row r="1181" spans="1:28" s="272" customFormat="1" ht="19.8">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19.8">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19.8">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19.8">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19.8">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19.8">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19.8">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19.8">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19.8">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19.8">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19.8">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19.8">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19.8">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19.8">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19.8">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19.8">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19.8">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19.8">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19.8">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19.8">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19.8">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19.8">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19.8">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19.8">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19.8">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19.8">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19.8">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68"/>
        <v/>
      </c>
      <c r="T1207" s="222" t="str">
        <f ca="1">IF(B1207="","",IF(ISERROR(MATCH($J1207,SorP!$B$1:$B$6230,0)),"",INDIRECT("'SorP'!$A$"&amp;MATCH($J1207,SorP!$B$1:$B$6230,0))))</f>
        <v/>
      </c>
      <c r="U1207" s="238"/>
      <c r="V1207" s="270" t="e">
        <f>IF(C1207="",NA(),MATCH($B1207&amp;$C1207,'Smelter Look-up'!$J:$J,0))</f>
        <v>#N/A</v>
      </c>
      <c r="W1207" s="271"/>
      <c r="X1207" s="271">
        <f t="shared" ca="1" si="169"/>
        <v>0</v>
      </c>
      <c r="Y1207" s="271"/>
      <c r="Z1207" s="271"/>
      <c r="AB1207" s="273" t="str">
        <f t="shared" si="170"/>
        <v/>
      </c>
    </row>
    <row r="1208" spans="1:28" s="272" customFormat="1" ht="19.8">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68"/>
        <v/>
      </c>
      <c r="T1208" s="222" t="str">
        <f ca="1">IF(B1208="","",IF(ISERROR(MATCH($J1208,SorP!$B$1:$B$6230,0)),"",INDIRECT("'SorP'!$A$"&amp;MATCH($J1208,SorP!$B$1:$B$6230,0))))</f>
        <v/>
      </c>
      <c r="U1208" s="238"/>
      <c r="V1208" s="270" t="e">
        <f>IF(C1208="",NA(),MATCH($B1208&amp;$C1208,'Smelter Look-up'!$J:$J,0))</f>
        <v>#N/A</v>
      </c>
      <c r="W1208" s="271"/>
      <c r="X1208" s="271">
        <f t="shared" ca="1" si="169"/>
        <v>0</v>
      </c>
      <c r="Y1208" s="271"/>
      <c r="Z1208" s="271"/>
      <c r="AB1208" s="273" t="str">
        <f t="shared" si="170"/>
        <v/>
      </c>
    </row>
    <row r="1209" spans="1:28" s="272" customFormat="1" ht="19.8">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68"/>
        <v/>
      </c>
      <c r="T1209" s="222" t="str">
        <f ca="1">IF(B1209="","",IF(ISERROR(MATCH($J1209,SorP!$B$1:$B$6230,0)),"",INDIRECT("'SorP'!$A$"&amp;MATCH($J1209,SorP!$B$1:$B$6230,0))))</f>
        <v/>
      </c>
      <c r="U1209" s="238"/>
      <c r="V1209" s="270" t="e">
        <f>IF(C1209="",NA(),MATCH($B1209&amp;$C1209,'Smelter Look-up'!$J:$J,0))</f>
        <v>#N/A</v>
      </c>
      <c r="W1209" s="271"/>
      <c r="X1209" s="271">
        <f t="shared" ca="1" si="169"/>
        <v>0</v>
      </c>
      <c r="Y1209" s="271"/>
      <c r="Z1209" s="271"/>
      <c r="AB1209" s="273" t="str">
        <f t="shared" si="170"/>
        <v/>
      </c>
    </row>
    <row r="1210" spans="1:28" s="272" customFormat="1" ht="19.8">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68"/>
        <v/>
      </c>
      <c r="T1210" s="222" t="str">
        <f ca="1">IF(B1210="","",IF(ISERROR(MATCH($J1210,SorP!$B$1:$B$6230,0)),"",INDIRECT("'SorP'!$A$"&amp;MATCH($J1210,SorP!$B$1:$B$6230,0))))</f>
        <v/>
      </c>
      <c r="U1210" s="238"/>
      <c r="V1210" s="270" t="e">
        <f>IF(C1210="",NA(),MATCH($B1210&amp;$C1210,'Smelter Look-up'!$J:$J,0))</f>
        <v>#N/A</v>
      </c>
      <c r="W1210" s="271"/>
      <c r="X1210" s="271">
        <f t="shared" ca="1" si="169"/>
        <v>0</v>
      </c>
      <c r="Y1210" s="271"/>
      <c r="Z1210" s="271"/>
      <c r="AB1210" s="273" t="str">
        <f t="shared" si="170"/>
        <v/>
      </c>
    </row>
    <row r="1211" spans="1:28" s="272" customFormat="1" ht="19.8">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t="shared" ref="X1211" ca="1" si="172">IF(AND(C1211="Smelter not listed",OR(LEN(D1211)=0,LEN(E1211)=0)),1,0)</f>
        <v>0</v>
      </c>
      <c r="Y1211" s="271"/>
      <c r="Z1211" s="271"/>
      <c r="AB1211" s="273" t="str">
        <f t="shared" ref="AB1211" si="173">B1211&amp;C1211</f>
        <v/>
      </c>
    </row>
    <row r="1212" spans="1:28" s="272" customFormat="1" ht="19.8">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75">IF(AND(C1212="Smelter not listed",OR(LEN(D1212)=0,LEN(E1212)=0)),1,0)</f>
        <v>0</v>
      </c>
      <c r="Y1212" s="271"/>
      <c r="Z1212" s="271"/>
      <c r="AB1212" s="273" t="str">
        <f t="shared" ref="AB1212:AB1243" si="176">B1212&amp;C1212</f>
        <v/>
      </c>
    </row>
    <row r="1213" spans="1:28" s="272" customFormat="1" ht="19.8">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19.8">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19.8">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19.8">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19.8">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19.8">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19.8">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19.8">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19.8">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19.8">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19.8">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19.8">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19.8">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19.8">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19.8">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19.8">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19.8">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19.8">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19.8">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19.8">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19.8">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19.8">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19.8">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19.8">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19.8">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19.8">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19.8">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19.8">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19.8">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4"/>
        <v/>
      </c>
      <c r="T1241" s="222" t="str">
        <f ca="1">IF(B1241="","",IF(ISERROR(MATCH($J1241,SorP!$B$1:$B$6230,0)),"",INDIRECT("'SorP'!$A$"&amp;MATCH($J1241,SorP!$B$1:$B$6230,0))))</f>
        <v/>
      </c>
      <c r="U1241" s="238"/>
      <c r="V1241" s="270" t="e">
        <f>IF(C1241="",NA(),MATCH($B1241&amp;$C1241,'Smelter Look-up'!$J:$J,0))</f>
        <v>#N/A</v>
      </c>
      <c r="W1241" s="271"/>
      <c r="X1241" s="271">
        <f t="shared" ca="1" si="175"/>
        <v>0</v>
      </c>
      <c r="Y1241" s="271"/>
      <c r="Z1241" s="271"/>
      <c r="AB1241" s="273" t="str">
        <f t="shared" si="176"/>
        <v/>
      </c>
    </row>
    <row r="1242" spans="1:28" s="272" customFormat="1" ht="19.8">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4"/>
        <v/>
      </c>
      <c r="T1242" s="222" t="str">
        <f ca="1">IF(B1242="","",IF(ISERROR(MATCH($J1242,SorP!$B$1:$B$6230,0)),"",INDIRECT("'SorP'!$A$"&amp;MATCH($J1242,SorP!$B$1:$B$6230,0))))</f>
        <v/>
      </c>
      <c r="U1242" s="238"/>
      <c r="V1242" s="270" t="e">
        <f>IF(C1242="",NA(),MATCH($B1242&amp;$C1242,'Smelter Look-up'!$J:$J,0))</f>
        <v>#N/A</v>
      </c>
      <c r="W1242" s="271"/>
      <c r="X1242" s="271">
        <f t="shared" ca="1" si="175"/>
        <v>0</v>
      </c>
      <c r="Y1242" s="271"/>
      <c r="Z1242" s="271"/>
      <c r="AB1242" s="273" t="str">
        <f t="shared" si="176"/>
        <v/>
      </c>
    </row>
    <row r="1243" spans="1:28" s="272" customFormat="1" ht="19.8">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4"/>
        <v/>
      </c>
      <c r="T1243" s="222" t="str">
        <f ca="1">IF(B1243="","",IF(ISERROR(MATCH($J1243,SorP!$B$1:$B$6230,0)),"",INDIRECT("'SorP'!$A$"&amp;MATCH($J1243,SorP!$B$1:$B$6230,0))))</f>
        <v/>
      </c>
      <c r="U1243" s="238"/>
      <c r="V1243" s="270" t="e">
        <f>IF(C1243="",NA(),MATCH($B1243&amp;$C1243,'Smelter Look-up'!$J:$J,0))</f>
        <v>#N/A</v>
      </c>
      <c r="W1243" s="271"/>
      <c r="X1243" s="271">
        <f t="shared" ca="1" si="175"/>
        <v>0</v>
      </c>
      <c r="Y1243" s="271"/>
      <c r="Z1243" s="271"/>
      <c r="AB1243" s="273" t="str">
        <f t="shared" si="176"/>
        <v/>
      </c>
    </row>
    <row r="1244" spans="1:28" s="272" customFormat="1" ht="19.8">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78">IF(AND(C1244="Smelter not listed",OR(LEN(D1244)=0,LEN(E1244)=0)),1,0)</f>
        <v>0</v>
      </c>
      <c r="Y1244" s="271"/>
      <c r="Z1244" s="271"/>
      <c r="AB1244" s="273" t="str">
        <f t="shared" ref="AB1244:AB1274" si="179">B1244&amp;C1244</f>
        <v/>
      </c>
    </row>
    <row r="1245" spans="1:28" s="272" customFormat="1" ht="19.8">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19.8">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19.8">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19.8">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19.8">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19.8">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19.8">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19.8">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19.8">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19.8">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19.8">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19.8">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19.8">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19.8">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19.8">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19.8">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19.8">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19.8">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19.8">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19.8">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19.8">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19.8">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19.8">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19.8">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19.8">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19.8">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19.8">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7"/>
        <v/>
      </c>
      <c r="T1271" s="222" t="str">
        <f ca="1">IF(B1271="","",IF(ISERROR(MATCH($J1271,SorP!$B$1:$B$6230,0)),"",INDIRECT("'SorP'!$A$"&amp;MATCH($J1271,SorP!$B$1:$B$6230,0))))</f>
        <v/>
      </c>
      <c r="U1271" s="238"/>
      <c r="V1271" s="270" t="e">
        <f>IF(C1271="",NA(),MATCH($B1271&amp;$C1271,'Smelter Look-up'!$J:$J,0))</f>
        <v>#N/A</v>
      </c>
      <c r="W1271" s="271"/>
      <c r="X1271" s="271">
        <f t="shared" ca="1" si="178"/>
        <v>0</v>
      </c>
      <c r="Y1271" s="271"/>
      <c r="Z1271" s="271"/>
      <c r="AB1271" s="273" t="str">
        <f t="shared" si="179"/>
        <v/>
      </c>
    </row>
    <row r="1272" spans="1:28" s="272" customFormat="1" ht="19.8">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77"/>
        <v/>
      </c>
      <c r="T1272" s="222" t="str">
        <f ca="1">IF(B1272="","",IF(ISERROR(MATCH($J1272,SorP!$B$1:$B$6230,0)),"",INDIRECT("'SorP'!$A$"&amp;MATCH($J1272,SorP!$B$1:$B$6230,0))))</f>
        <v/>
      </c>
      <c r="U1272" s="238"/>
      <c r="V1272" s="270" t="e">
        <f>IF(C1272="",NA(),MATCH($B1272&amp;$C1272,'Smelter Look-up'!$J:$J,0))</f>
        <v>#N/A</v>
      </c>
      <c r="W1272" s="271"/>
      <c r="X1272" s="271">
        <f t="shared" ca="1" si="178"/>
        <v>0</v>
      </c>
      <c r="Y1272" s="271"/>
      <c r="Z1272" s="271"/>
      <c r="AB1272" s="273" t="str">
        <f t="shared" si="179"/>
        <v/>
      </c>
    </row>
    <row r="1273" spans="1:28" s="272" customFormat="1" ht="19.8">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77"/>
        <v/>
      </c>
      <c r="T1273" s="222" t="str">
        <f ca="1">IF(B1273="","",IF(ISERROR(MATCH($J1273,SorP!$B$1:$B$6230,0)),"",INDIRECT("'SorP'!$A$"&amp;MATCH($J1273,SorP!$B$1:$B$6230,0))))</f>
        <v/>
      </c>
      <c r="U1273" s="238"/>
      <c r="V1273" s="270" t="e">
        <f>IF(C1273="",NA(),MATCH($B1273&amp;$C1273,'Smelter Look-up'!$J:$J,0))</f>
        <v>#N/A</v>
      </c>
      <c r="W1273" s="271"/>
      <c r="X1273" s="271">
        <f t="shared" ca="1" si="178"/>
        <v>0</v>
      </c>
      <c r="Y1273" s="271"/>
      <c r="Z1273" s="271"/>
      <c r="AB1273" s="273" t="str">
        <f t="shared" si="179"/>
        <v/>
      </c>
    </row>
    <row r="1274" spans="1:28" s="272" customFormat="1" ht="19.8">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77"/>
        <v/>
      </c>
      <c r="T1274" s="222" t="str">
        <f ca="1">IF(B1274="","",IF(ISERROR(MATCH($J1274,SorP!$B$1:$B$6230,0)),"",INDIRECT("'SorP'!$A$"&amp;MATCH($J1274,SorP!$B$1:$B$6230,0))))</f>
        <v/>
      </c>
      <c r="U1274" s="238"/>
      <c r="V1274" s="270" t="e">
        <f>IF(C1274="",NA(),MATCH($B1274&amp;$C1274,'Smelter Look-up'!$J:$J,0))</f>
        <v>#N/A</v>
      </c>
      <c r="W1274" s="271"/>
      <c r="X1274" s="271">
        <f t="shared" ca="1" si="178"/>
        <v>0</v>
      </c>
      <c r="Y1274" s="271"/>
      <c r="Z1274" s="271"/>
      <c r="AB1274" s="273" t="str">
        <f t="shared" si="179"/>
        <v/>
      </c>
    </row>
    <row r="1275" spans="1:28" s="272" customFormat="1" ht="19.8">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t="shared" ref="X1275" ca="1" si="181">IF(AND(C1275="Smelter not listed",OR(LEN(D1275)=0,LEN(E1275)=0)),1,0)</f>
        <v>0</v>
      </c>
      <c r="Y1275" s="271"/>
      <c r="Z1275" s="271"/>
      <c r="AB1275" s="273" t="str">
        <f t="shared" ref="AB1275" si="182">B1275&amp;C1275</f>
        <v/>
      </c>
    </row>
    <row r="1276" spans="1:28" s="272" customFormat="1" ht="19.8">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84">IF(AND(C1276="Smelter not listed",OR(LEN(D1276)=0,LEN(E1276)=0)),1,0)</f>
        <v>0</v>
      </c>
      <c r="Y1276" s="271"/>
      <c r="Z1276" s="271"/>
      <c r="AB1276" s="273" t="str">
        <f t="shared" ref="AB1276:AB1307" si="185">B1276&amp;C1276</f>
        <v/>
      </c>
    </row>
    <row r="1277" spans="1:28" s="272" customFormat="1" ht="19.8">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19.8">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19.8">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19.8">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19.8">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19.8">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19.8">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19.8">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19.8">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19.8">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19.8">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19.8">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19.8">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19.8">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19.8">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19.8">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19.8">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19.8">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19.8">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19.8">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19.8">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19.8">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19.8">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19.8">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19.8">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19.8">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19.8">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19.8">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19.8">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3"/>
        <v/>
      </c>
      <c r="T1305" s="222" t="str">
        <f ca="1">IF(B1305="","",IF(ISERROR(MATCH($J1305,SorP!$B$1:$B$6230,0)),"",INDIRECT("'SorP'!$A$"&amp;MATCH($J1305,SorP!$B$1:$B$6230,0))))</f>
        <v/>
      </c>
      <c r="U1305" s="238"/>
      <c r="V1305" s="270" t="e">
        <f>IF(C1305="",NA(),MATCH($B1305&amp;$C1305,'Smelter Look-up'!$J:$J,0))</f>
        <v>#N/A</v>
      </c>
      <c r="W1305" s="271"/>
      <c r="X1305" s="271">
        <f t="shared" ca="1" si="184"/>
        <v>0</v>
      </c>
      <c r="Y1305" s="271"/>
      <c r="Z1305" s="271"/>
      <c r="AB1305" s="273" t="str">
        <f t="shared" si="185"/>
        <v/>
      </c>
    </row>
    <row r="1306" spans="1:28" s="272" customFormat="1" ht="19.8">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3"/>
        <v/>
      </c>
      <c r="T1306" s="222" t="str">
        <f ca="1">IF(B1306="","",IF(ISERROR(MATCH($J1306,SorP!$B$1:$B$6230,0)),"",INDIRECT("'SorP'!$A$"&amp;MATCH($J1306,SorP!$B$1:$B$6230,0))))</f>
        <v/>
      </c>
      <c r="U1306" s="238"/>
      <c r="V1306" s="270" t="e">
        <f>IF(C1306="",NA(),MATCH($B1306&amp;$C1306,'Smelter Look-up'!$J:$J,0))</f>
        <v>#N/A</v>
      </c>
      <c r="W1306" s="271"/>
      <c r="X1306" s="271">
        <f t="shared" ca="1" si="184"/>
        <v>0</v>
      </c>
      <c r="Y1306" s="271"/>
      <c r="Z1306" s="271"/>
      <c r="AB1306" s="273" t="str">
        <f t="shared" si="185"/>
        <v/>
      </c>
    </row>
    <row r="1307" spans="1:28" s="272" customFormat="1" ht="19.8">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3"/>
        <v/>
      </c>
      <c r="T1307" s="222" t="str">
        <f ca="1">IF(B1307="","",IF(ISERROR(MATCH($J1307,SorP!$B$1:$B$6230,0)),"",INDIRECT("'SorP'!$A$"&amp;MATCH($J1307,SorP!$B$1:$B$6230,0))))</f>
        <v/>
      </c>
      <c r="U1307" s="238"/>
      <c r="V1307" s="270" t="e">
        <f>IF(C1307="",NA(),MATCH($B1307&amp;$C1307,'Smelter Look-up'!$J:$J,0))</f>
        <v>#N/A</v>
      </c>
      <c r="W1307" s="271"/>
      <c r="X1307" s="271">
        <f t="shared" ca="1" si="184"/>
        <v>0</v>
      </c>
      <c r="Y1307" s="271"/>
      <c r="Z1307" s="271"/>
      <c r="AB1307" s="273" t="str">
        <f t="shared" si="185"/>
        <v/>
      </c>
    </row>
    <row r="1308" spans="1:28" s="272" customFormat="1" ht="19.8">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87">IF(AND(C1308="Smelter not listed",OR(LEN(D1308)=0,LEN(E1308)=0)),1,0)</f>
        <v>0</v>
      </c>
      <c r="Y1308" s="271"/>
      <c r="Z1308" s="271"/>
      <c r="AB1308" s="273" t="str">
        <f t="shared" ref="AB1308:AB1338" si="188">B1308&amp;C1308</f>
        <v/>
      </c>
    </row>
    <row r="1309" spans="1:28" s="272" customFormat="1" ht="19.8">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19.8">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19.8">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19.8">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19.8">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19.8">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19.8">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19.8">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19.8">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19.8">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19.8">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19.8">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19.8">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19.8">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19.8">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19.8">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19.8">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19.8">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19.8">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19.8">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19.8">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19.8">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19.8">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19.8">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19.8">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19.8">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19.8">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6"/>
        <v/>
      </c>
      <c r="T1335" s="222" t="str">
        <f ca="1">IF(B1335="","",IF(ISERROR(MATCH($J1335,SorP!$B$1:$B$6230,0)),"",INDIRECT("'SorP'!$A$"&amp;MATCH($J1335,SorP!$B$1:$B$6230,0))))</f>
        <v/>
      </c>
      <c r="U1335" s="238"/>
      <c r="V1335" s="270" t="e">
        <f>IF(C1335="",NA(),MATCH($B1335&amp;$C1335,'Smelter Look-up'!$J:$J,0))</f>
        <v>#N/A</v>
      </c>
      <c r="W1335" s="271"/>
      <c r="X1335" s="271">
        <f t="shared" ca="1" si="187"/>
        <v>0</v>
      </c>
      <c r="Y1335" s="271"/>
      <c r="Z1335" s="271"/>
      <c r="AB1335" s="273" t="str">
        <f t="shared" si="188"/>
        <v/>
      </c>
    </row>
    <row r="1336" spans="1:28" s="272" customFormat="1" ht="19.8">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6"/>
        <v/>
      </c>
      <c r="T1336" s="222" t="str">
        <f ca="1">IF(B1336="","",IF(ISERROR(MATCH($J1336,SorP!$B$1:$B$6230,0)),"",INDIRECT("'SorP'!$A$"&amp;MATCH($J1336,SorP!$B$1:$B$6230,0))))</f>
        <v/>
      </c>
      <c r="U1336" s="238"/>
      <c r="V1336" s="270" t="e">
        <f>IF(C1336="",NA(),MATCH($B1336&amp;$C1336,'Smelter Look-up'!$J:$J,0))</f>
        <v>#N/A</v>
      </c>
      <c r="W1336" s="271"/>
      <c r="X1336" s="271">
        <f t="shared" ca="1" si="187"/>
        <v>0</v>
      </c>
      <c r="Y1336" s="271"/>
      <c r="Z1336" s="271"/>
      <c r="AB1336" s="273" t="str">
        <f t="shared" si="188"/>
        <v/>
      </c>
    </row>
    <row r="1337" spans="1:28" s="272" customFormat="1" ht="19.8">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86"/>
        <v/>
      </c>
      <c r="T1337" s="222" t="str">
        <f ca="1">IF(B1337="","",IF(ISERROR(MATCH($J1337,SorP!$B$1:$B$6230,0)),"",INDIRECT("'SorP'!$A$"&amp;MATCH($J1337,SorP!$B$1:$B$6230,0))))</f>
        <v/>
      </c>
      <c r="U1337" s="238"/>
      <c r="V1337" s="270" t="e">
        <f>IF(C1337="",NA(),MATCH($B1337&amp;$C1337,'Smelter Look-up'!$J:$J,0))</f>
        <v>#N/A</v>
      </c>
      <c r="W1337" s="271"/>
      <c r="X1337" s="271">
        <f t="shared" ca="1" si="187"/>
        <v>0</v>
      </c>
      <c r="Y1337" s="271"/>
      <c r="Z1337" s="271"/>
      <c r="AB1337" s="273" t="str">
        <f t="shared" si="188"/>
        <v/>
      </c>
    </row>
    <row r="1338" spans="1:28" s="272" customFormat="1" ht="19.8">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86"/>
        <v/>
      </c>
      <c r="T1338" s="222" t="str">
        <f ca="1">IF(B1338="","",IF(ISERROR(MATCH($J1338,SorP!$B$1:$B$6230,0)),"",INDIRECT("'SorP'!$A$"&amp;MATCH($J1338,SorP!$B$1:$B$6230,0))))</f>
        <v/>
      </c>
      <c r="U1338" s="238"/>
      <c r="V1338" s="270" t="e">
        <f>IF(C1338="",NA(),MATCH($B1338&amp;$C1338,'Smelter Look-up'!$J:$J,0))</f>
        <v>#N/A</v>
      </c>
      <c r="W1338" s="271"/>
      <c r="X1338" s="271">
        <f t="shared" ca="1" si="187"/>
        <v>0</v>
      </c>
      <c r="Y1338" s="271"/>
      <c r="Z1338" s="271"/>
      <c r="AB1338" s="273" t="str">
        <f t="shared" si="188"/>
        <v/>
      </c>
    </row>
    <row r="1339" spans="1:28" s="272" customFormat="1" ht="19.8">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t="shared" ref="X1339" ca="1" si="190">IF(AND(C1339="Smelter not listed",OR(LEN(D1339)=0,LEN(E1339)=0)),1,0)</f>
        <v>0</v>
      </c>
      <c r="Y1339" s="271"/>
      <c r="Z1339" s="271"/>
      <c r="AB1339" s="273" t="str">
        <f t="shared" ref="AB1339" si="191">B1339&amp;C1339</f>
        <v/>
      </c>
    </row>
    <row r="1340" spans="1:28" s="272" customFormat="1" ht="19.8">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93">IF(AND(C1340="Smelter not listed",OR(LEN(D1340)=0,LEN(E1340)=0)),1,0)</f>
        <v>0</v>
      </c>
      <c r="Y1340" s="271"/>
      <c r="Z1340" s="271"/>
      <c r="AB1340" s="273" t="str">
        <f t="shared" ref="AB1340:AB1371" si="194">B1340&amp;C1340</f>
        <v/>
      </c>
    </row>
    <row r="1341" spans="1:28" s="272" customFormat="1" ht="19.8">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19.8">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19.8">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19.8">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19.8">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19.8">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19.8">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19.8">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19.8">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19.8">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19.8">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19.8">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19.8">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19.8">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19.8">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19.8">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19.8">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19.8">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19.8">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19.8">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19.8">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19.8">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19.8">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19.8">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19.8">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19.8">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19.8">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19.8">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19.8">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2"/>
        <v/>
      </c>
      <c r="T1369" s="222" t="str">
        <f ca="1">IF(B1369="","",IF(ISERROR(MATCH($J1369,SorP!$B$1:$B$6230,0)),"",INDIRECT("'SorP'!$A$"&amp;MATCH($J1369,SorP!$B$1:$B$6230,0))))</f>
        <v/>
      </c>
      <c r="U1369" s="238"/>
      <c r="V1369" s="270" t="e">
        <f>IF(C1369="",NA(),MATCH($B1369&amp;$C1369,'Smelter Look-up'!$J:$J,0))</f>
        <v>#N/A</v>
      </c>
      <c r="W1369" s="271"/>
      <c r="X1369" s="271">
        <f t="shared" ca="1" si="193"/>
        <v>0</v>
      </c>
      <c r="Y1369" s="271"/>
      <c r="Z1369" s="271"/>
      <c r="AB1369" s="273" t="str">
        <f t="shared" si="194"/>
        <v/>
      </c>
    </row>
    <row r="1370" spans="1:28" s="272" customFormat="1" ht="19.8">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2"/>
        <v/>
      </c>
      <c r="T1370" s="222" t="str">
        <f ca="1">IF(B1370="","",IF(ISERROR(MATCH($J1370,SorP!$B$1:$B$6230,0)),"",INDIRECT("'SorP'!$A$"&amp;MATCH($J1370,SorP!$B$1:$B$6230,0))))</f>
        <v/>
      </c>
      <c r="U1370" s="238"/>
      <c r="V1370" s="270" t="e">
        <f>IF(C1370="",NA(),MATCH($B1370&amp;$C1370,'Smelter Look-up'!$J:$J,0))</f>
        <v>#N/A</v>
      </c>
      <c r="W1370" s="271"/>
      <c r="X1370" s="271">
        <f t="shared" ca="1" si="193"/>
        <v>0</v>
      </c>
      <c r="Y1370" s="271"/>
      <c r="Z1370" s="271"/>
      <c r="AB1370" s="273" t="str">
        <f t="shared" si="194"/>
        <v/>
      </c>
    </row>
    <row r="1371" spans="1:28" s="272" customFormat="1" ht="19.8">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2"/>
        <v/>
      </c>
      <c r="T1371" s="222" t="str">
        <f ca="1">IF(B1371="","",IF(ISERROR(MATCH($J1371,SorP!$B$1:$B$6230,0)),"",INDIRECT("'SorP'!$A$"&amp;MATCH($J1371,SorP!$B$1:$B$6230,0))))</f>
        <v/>
      </c>
      <c r="U1371" s="238"/>
      <c r="V1371" s="270" t="e">
        <f>IF(C1371="",NA(),MATCH($B1371&amp;$C1371,'Smelter Look-up'!$J:$J,0))</f>
        <v>#N/A</v>
      </c>
      <c r="W1371" s="271"/>
      <c r="X1371" s="271">
        <f t="shared" ca="1" si="193"/>
        <v>0</v>
      </c>
      <c r="Y1371" s="271"/>
      <c r="Z1371" s="271"/>
      <c r="AB1371" s="273" t="str">
        <f t="shared" si="194"/>
        <v/>
      </c>
    </row>
    <row r="1372" spans="1:28" s="272" customFormat="1" ht="19.8">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96">IF(AND(C1372="Smelter not listed",OR(LEN(D1372)=0,LEN(E1372)=0)),1,0)</f>
        <v>0</v>
      </c>
      <c r="Y1372" s="271"/>
      <c r="Z1372" s="271"/>
      <c r="AB1372" s="273" t="str">
        <f t="shared" ref="AB1372:AB1402" si="197">B1372&amp;C1372</f>
        <v/>
      </c>
    </row>
    <row r="1373" spans="1:28" s="272" customFormat="1" ht="19.8">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19.8">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19.8">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19.8">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19.8">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19.8">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19.8">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19.8">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19.8">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19.8">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19.8">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19.8">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19.8">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19.8">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19.8">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19.8">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19.8">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19.8">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19.8">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19.8">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19.8">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19.8">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19.8">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19.8">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19.8">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19.8">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19.8">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5"/>
        <v/>
      </c>
      <c r="T1399" s="222" t="str">
        <f ca="1">IF(B1399="","",IF(ISERROR(MATCH($J1399,SorP!$B$1:$B$6230,0)),"",INDIRECT("'SorP'!$A$"&amp;MATCH($J1399,SorP!$B$1:$B$6230,0))))</f>
        <v/>
      </c>
      <c r="U1399" s="238"/>
      <c r="V1399" s="270" t="e">
        <f>IF(C1399="",NA(),MATCH($B1399&amp;$C1399,'Smelter Look-up'!$J:$J,0))</f>
        <v>#N/A</v>
      </c>
      <c r="W1399" s="271"/>
      <c r="X1399" s="271">
        <f t="shared" ca="1" si="196"/>
        <v>0</v>
      </c>
      <c r="Y1399" s="271"/>
      <c r="Z1399" s="271"/>
      <c r="AB1399" s="273" t="str">
        <f t="shared" si="197"/>
        <v/>
      </c>
    </row>
    <row r="1400" spans="1:28" s="272" customFormat="1" ht="19.8">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5"/>
        <v/>
      </c>
      <c r="T1400" s="222" t="str">
        <f ca="1">IF(B1400="","",IF(ISERROR(MATCH($J1400,SorP!$B$1:$B$6230,0)),"",INDIRECT("'SorP'!$A$"&amp;MATCH($J1400,SorP!$B$1:$B$6230,0))))</f>
        <v/>
      </c>
      <c r="U1400" s="238"/>
      <c r="V1400" s="270" t="e">
        <f>IF(C1400="",NA(),MATCH($B1400&amp;$C1400,'Smelter Look-up'!$J:$J,0))</f>
        <v>#N/A</v>
      </c>
      <c r="W1400" s="271"/>
      <c r="X1400" s="271">
        <f t="shared" ca="1" si="196"/>
        <v>0</v>
      </c>
      <c r="Y1400" s="271"/>
      <c r="Z1400" s="271"/>
      <c r="AB1400" s="273" t="str">
        <f t="shared" si="197"/>
        <v/>
      </c>
    </row>
    <row r="1401" spans="1:28" s="272" customFormat="1" ht="19.8">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95"/>
        <v/>
      </c>
      <c r="T1401" s="222" t="str">
        <f ca="1">IF(B1401="","",IF(ISERROR(MATCH($J1401,SorP!$B$1:$B$6230,0)),"",INDIRECT("'SorP'!$A$"&amp;MATCH($J1401,SorP!$B$1:$B$6230,0))))</f>
        <v/>
      </c>
      <c r="U1401" s="238"/>
      <c r="V1401" s="270" t="e">
        <f>IF(C1401="",NA(),MATCH($B1401&amp;$C1401,'Smelter Look-up'!$J:$J,0))</f>
        <v>#N/A</v>
      </c>
      <c r="W1401" s="271"/>
      <c r="X1401" s="271">
        <f t="shared" ca="1" si="196"/>
        <v>0</v>
      </c>
      <c r="Y1401" s="271"/>
      <c r="Z1401" s="271"/>
      <c r="AB1401" s="273" t="str">
        <f t="shared" si="197"/>
        <v/>
      </c>
    </row>
    <row r="1402" spans="1:28" s="272" customFormat="1" ht="19.8">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95"/>
        <v/>
      </c>
      <c r="T1402" s="222" t="str">
        <f ca="1">IF(B1402="","",IF(ISERROR(MATCH($J1402,SorP!$B$1:$B$6230,0)),"",INDIRECT("'SorP'!$A$"&amp;MATCH($J1402,SorP!$B$1:$B$6230,0))))</f>
        <v/>
      </c>
      <c r="U1402" s="238"/>
      <c r="V1402" s="270" t="e">
        <f>IF(C1402="",NA(),MATCH($B1402&amp;$C1402,'Smelter Look-up'!$J:$J,0))</f>
        <v>#N/A</v>
      </c>
      <c r="W1402" s="271"/>
      <c r="X1402" s="271">
        <f t="shared" ca="1" si="196"/>
        <v>0</v>
      </c>
      <c r="Y1402" s="271"/>
      <c r="Z1402" s="271"/>
      <c r="AB1402" s="273" t="str">
        <f t="shared" si="197"/>
        <v/>
      </c>
    </row>
    <row r="1403" spans="1:28" s="272" customFormat="1" ht="19.8">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t="shared" ref="X1403" ca="1" si="199">IF(AND(C1403="Smelter not listed",OR(LEN(D1403)=0,LEN(E1403)=0)),1,0)</f>
        <v>0</v>
      </c>
      <c r="Y1403" s="271"/>
      <c r="Z1403" s="271"/>
      <c r="AB1403" s="273" t="str">
        <f t="shared" ref="AB1403" si="200">B1403&amp;C1403</f>
        <v/>
      </c>
    </row>
    <row r="1404" spans="1:28" s="272" customFormat="1" ht="19.8">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202">IF(AND(C1404="Smelter not listed",OR(LEN(D1404)=0,LEN(E1404)=0)),1,0)</f>
        <v>0</v>
      </c>
      <c r="Y1404" s="271"/>
      <c r="Z1404" s="271"/>
      <c r="AB1404" s="273" t="str">
        <f t="shared" ref="AB1404:AB1435" si="203">B1404&amp;C1404</f>
        <v/>
      </c>
    </row>
    <row r="1405" spans="1:28" s="272" customFormat="1" ht="19.8">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19.8">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19.8">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19.8">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19.8">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19.8">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19.8">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19.8">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19.8">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19.8">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19.8">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19.8">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19.8">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19.8">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19.8">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19.8">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19.8">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19.8">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19.8">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19.8">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19.8">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19.8">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19.8">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19.8">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19.8">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19.8">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19.8">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19.8">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19.8">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1"/>
        <v/>
      </c>
      <c r="T1433" s="222" t="str">
        <f ca="1">IF(B1433="","",IF(ISERROR(MATCH($J1433,SorP!$B$1:$B$6230,0)),"",INDIRECT("'SorP'!$A$"&amp;MATCH($J1433,SorP!$B$1:$B$6230,0))))</f>
        <v/>
      </c>
      <c r="U1433" s="238"/>
      <c r="V1433" s="270" t="e">
        <f>IF(C1433="",NA(),MATCH($B1433&amp;$C1433,'Smelter Look-up'!$J:$J,0))</f>
        <v>#N/A</v>
      </c>
      <c r="W1433" s="271"/>
      <c r="X1433" s="271">
        <f t="shared" ca="1" si="202"/>
        <v>0</v>
      </c>
      <c r="Y1433" s="271"/>
      <c r="Z1433" s="271"/>
      <c r="AB1433" s="273" t="str">
        <f t="shared" si="203"/>
        <v/>
      </c>
    </row>
    <row r="1434" spans="1:28" s="272" customFormat="1" ht="19.8">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1"/>
        <v/>
      </c>
      <c r="T1434" s="222" t="str">
        <f ca="1">IF(B1434="","",IF(ISERROR(MATCH($J1434,SorP!$B$1:$B$6230,0)),"",INDIRECT("'SorP'!$A$"&amp;MATCH($J1434,SorP!$B$1:$B$6230,0))))</f>
        <v/>
      </c>
      <c r="U1434" s="238"/>
      <c r="V1434" s="270" t="e">
        <f>IF(C1434="",NA(),MATCH($B1434&amp;$C1434,'Smelter Look-up'!$J:$J,0))</f>
        <v>#N/A</v>
      </c>
      <c r="W1434" s="271"/>
      <c r="X1434" s="271">
        <f t="shared" ca="1" si="202"/>
        <v>0</v>
      </c>
      <c r="Y1434" s="271"/>
      <c r="Z1434" s="271"/>
      <c r="AB1434" s="273" t="str">
        <f t="shared" si="203"/>
        <v/>
      </c>
    </row>
    <row r="1435" spans="1:28" s="272" customFormat="1" ht="19.8">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1"/>
        <v/>
      </c>
      <c r="T1435" s="222" t="str">
        <f ca="1">IF(B1435="","",IF(ISERROR(MATCH($J1435,SorP!$B$1:$B$6230,0)),"",INDIRECT("'SorP'!$A$"&amp;MATCH($J1435,SorP!$B$1:$B$6230,0))))</f>
        <v/>
      </c>
      <c r="U1435" s="238"/>
      <c r="V1435" s="270" t="e">
        <f>IF(C1435="",NA(),MATCH($B1435&amp;$C1435,'Smelter Look-up'!$J:$J,0))</f>
        <v>#N/A</v>
      </c>
      <c r="W1435" s="271"/>
      <c r="X1435" s="271">
        <f t="shared" ca="1" si="202"/>
        <v>0</v>
      </c>
      <c r="Y1435" s="271"/>
      <c r="Z1435" s="271"/>
      <c r="AB1435" s="273" t="str">
        <f t="shared" si="203"/>
        <v/>
      </c>
    </row>
    <row r="1436" spans="1:28" s="272" customFormat="1" ht="19.8">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205">IF(AND(C1436="Smelter not listed",OR(LEN(D1436)=0,LEN(E1436)=0)),1,0)</f>
        <v>0</v>
      </c>
      <c r="Y1436" s="271"/>
      <c r="Z1436" s="271"/>
      <c r="AB1436" s="273" t="str">
        <f t="shared" ref="AB1436:AB1466" si="206">B1436&amp;C1436</f>
        <v/>
      </c>
    </row>
    <row r="1437" spans="1:28" s="272" customFormat="1" ht="19.8">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19.8">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19.8">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19.8">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19.8">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19.8">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19.8">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19.8">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19.8">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19.8">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19.8">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19.8">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19.8">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19.8">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19.8">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19.8">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19.8">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19.8">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19.8">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19.8">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19.8">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19.8">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19.8">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19.8">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19.8">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19.8">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19.8">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4"/>
        <v/>
      </c>
      <c r="T1463" s="222" t="str">
        <f ca="1">IF(B1463="","",IF(ISERROR(MATCH($J1463,SorP!$B$1:$B$6230,0)),"",INDIRECT("'SorP'!$A$"&amp;MATCH($J1463,SorP!$B$1:$B$6230,0))))</f>
        <v/>
      </c>
      <c r="U1463" s="238"/>
      <c r="V1463" s="270" t="e">
        <f>IF(C1463="",NA(),MATCH($B1463&amp;$C1463,'Smelter Look-up'!$J:$J,0))</f>
        <v>#N/A</v>
      </c>
      <c r="W1463" s="271"/>
      <c r="X1463" s="271">
        <f t="shared" ca="1" si="205"/>
        <v>0</v>
      </c>
      <c r="Y1463" s="271"/>
      <c r="Z1463" s="271"/>
      <c r="AB1463" s="273" t="str">
        <f t="shared" si="206"/>
        <v/>
      </c>
    </row>
    <row r="1464" spans="1:28" s="272" customFormat="1" ht="19.8">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4"/>
        <v/>
      </c>
      <c r="T1464" s="222" t="str">
        <f ca="1">IF(B1464="","",IF(ISERROR(MATCH($J1464,SorP!$B$1:$B$6230,0)),"",INDIRECT("'SorP'!$A$"&amp;MATCH($J1464,SorP!$B$1:$B$6230,0))))</f>
        <v/>
      </c>
      <c r="U1464" s="238"/>
      <c r="V1464" s="270" t="e">
        <f>IF(C1464="",NA(),MATCH($B1464&amp;$C1464,'Smelter Look-up'!$J:$J,0))</f>
        <v>#N/A</v>
      </c>
      <c r="W1464" s="271"/>
      <c r="X1464" s="271">
        <f t="shared" ca="1" si="205"/>
        <v>0</v>
      </c>
      <c r="Y1464" s="271"/>
      <c r="Z1464" s="271"/>
      <c r="AB1464" s="273" t="str">
        <f t="shared" si="206"/>
        <v/>
      </c>
    </row>
    <row r="1465" spans="1:28" s="272" customFormat="1" ht="19.8">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04"/>
        <v/>
      </c>
      <c r="T1465" s="222" t="str">
        <f ca="1">IF(B1465="","",IF(ISERROR(MATCH($J1465,SorP!$B$1:$B$6230,0)),"",INDIRECT("'SorP'!$A$"&amp;MATCH($J1465,SorP!$B$1:$B$6230,0))))</f>
        <v/>
      </c>
      <c r="U1465" s="238"/>
      <c r="V1465" s="270" t="e">
        <f>IF(C1465="",NA(),MATCH($B1465&amp;$C1465,'Smelter Look-up'!$J:$J,0))</f>
        <v>#N/A</v>
      </c>
      <c r="W1465" s="271"/>
      <c r="X1465" s="271">
        <f t="shared" ca="1" si="205"/>
        <v>0</v>
      </c>
      <c r="Y1465" s="271"/>
      <c r="Z1465" s="271"/>
      <c r="AB1465" s="273" t="str">
        <f t="shared" si="206"/>
        <v/>
      </c>
    </row>
    <row r="1466" spans="1:28" s="272" customFormat="1" ht="19.8">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04"/>
        <v/>
      </c>
      <c r="T1466" s="222" t="str">
        <f ca="1">IF(B1466="","",IF(ISERROR(MATCH($J1466,SorP!$B$1:$B$6230,0)),"",INDIRECT("'SorP'!$A$"&amp;MATCH($J1466,SorP!$B$1:$B$6230,0))))</f>
        <v/>
      </c>
      <c r="U1466" s="238"/>
      <c r="V1466" s="270" t="e">
        <f>IF(C1466="",NA(),MATCH($B1466&amp;$C1466,'Smelter Look-up'!$J:$J,0))</f>
        <v>#N/A</v>
      </c>
      <c r="W1466" s="271"/>
      <c r="X1466" s="271">
        <f t="shared" ca="1" si="205"/>
        <v>0</v>
      </c>
      <c r="Y1466" s="271"/>
      <c r="Z1466" s="271"/>
      <c r="AB1466" s="273" t="str">
        <f t="shared" si="206"/>
        <v/>
      </c>
    </row>
    <row r="1467" spans="1:28" s="272" customFormat="1" ht="19.8">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t="shared" ref="X1467" ca="1" si="208">IF(AND(C1467="Smelter not listed",OR(LEN(D1467)=0,LEN(E1467)=0)),1,0)</f>
        <v>0</v>
      </c>
      <c r="Y1467" s="271"/>
      <c r="Z1467" s="271"/>
      <c r="AB1467" s="273" t="str">
        <f t="shared" ref="AB1467" si="209">B1467&amp;C1467</f>
        <v/>
      </c>
    </row>
    <row r="1468" spans="1:28" s="272" customFormat="1" ht="19.8">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211">IF(AND(C1468="Smelter not listed",OR(LEN(D1468)=0,LEN(E1468)=0)),1,0)</f>
        <v>0</v>
      </c>
      <c r="Y1468" s="271"/>
      <c r="Z1468" s="271"/>
      <c r="AB1468" s="273" t="str">
        <f t="shared" ref="AB1468:AB1499" si="212">B1468&amp;C1468</f>
        <v/>
      </c>
    </row>
    <row r="1469" spans="1:28" s="272" customFormat="1" ht="19.8">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19.8">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19.8">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19.8">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19.8">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19.8">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19.8">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19.8">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19.8">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19.8">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19.8">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19.8">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19.8">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19.8">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19.8">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19.8">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19.8">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19.8">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19.8">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19.8">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19.8">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19.8">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19.8">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19.8">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19.8">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19.8">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19.8">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19.8">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19.8">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0"/>
        <v/>
      </c>
      <c r="T1497" s="222" t="str">
        <f ca="1">IF(B1497="","",IF(ISERROR(MATCH($J1497,SorP!$B$1:$B$6230,0)),"",INDIRECT("'SorP'!$A$"&amp;MATCH($J1497,SorP!$B$1:$B$6230,0))))</f>
        <v/>
      </c>
      <c r="U1497" s="238"/>
      <c r="V1497" s="270" t="e">
        <f>IF(C1497="",NA(),MATCH($B1497&amp;$C1497,'Smelter Look-up'!$J:$J,0))</f>
        <v>#N/A</v>
      </c>
      <c r="W1497" s="271"/>
      <c r="X1497" s="271">
        <f t="shared" ca="1" si="211"/>
        <v>0</v>
      </c>
      <c r="Y1497" s="271"/>
      <c r="Z1497" s="271"/>
      <c r="AB1497" s="273" t="str">
        <f t="shared" si="212"/>
        <v/>
      </c>
    </row>
    <row r="1498" spans="1:28" s="272" customFormat="1" ht="19.8">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0"/>
        <v/>
      </c>
      <c r="T1498" s="222" t="str">
        <f ca="1">IF(B1498="","",IF(ISERROR(MATCH($J1498,SorP!$B$1:$B$6230,0)),"",INDIRECT("'SorP'!$A$"&amp;MATCH($J1498,SorP!$B$1:$B$6230,0))))</f>
        <v/>
      </c>
      <c r="U1498" s="238"/>
      <c r="V1498" s="270" t="e">
        <f>IF(C1498="",NA(),MATCH($B1498&amp;$C1498,'Smelter Look-up'!$J:$J,0))</f>
        <v>#N/A</v>
      </c>
      <c r="W1498" s="271"/>
      <c r="X1498" s="271">
        <f t="shared" ca="1" si="211"/>
        <v>0</v>
      </c>
      <c r="Y1498" s="271"/>
      <c r="Z1498" s="271"/>
      <c r="AB1498" s="273" t="str">
        <f t="shared" si="212"/>
        <v/>
      </c>
    </row>
    <row r="1499" spans="1:28" s="272" customFormat="1" ht="19.8">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0"/>
        <v/>
      </c>
      <c r="T1499" s="222" t="str">
        <f ca="1">IF(B1499="","",IF(ISERROR(MATCH($J1499,SorP!$B$1:$B$6230,0)),"",INDIRECT("'SorP'!$A$"&amp;MATCH($J1499,SorP!$B$1:$B$6230,0))))</f>
        <v/>
      </c>
      <c r="U1499" s="238"/>
      <c r="V1499" s="270" t="e">
        <f>IF(C1499="",NA(),MATCH($B1499&amp;$C1499,'Smelter Look-up'!$J:$J,0))</f>
        <v>#N/A</v>
      </c>
      <c r="W1499" s="271"/>
      <c r="X1499" s="271">
        <f t="shared" ca="1" si="211"/>
        <v>0</v>
      </c>
      <c r="Y1499" s="271"/>
      <c r="Z1499" s="271"/>
      <c r="AB1499" s="273" t="str">
        <f t="shared" si="212"/>
        <v/>
      </c>
    </row>
    <row r="1500" spans="1:28" s="272" customFormat="1" ht="19.8">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214">IF(AND(C1500="Smelter not listed",OR(LEN(D1500)=0,LEN(E1500)=0)),1,0)</f>
        <v>0</v>
      </c>
      <c r="Y1500" s="271"/>
      <c r="Z1500" s="271"/>
      <c r="AB1500" s="273" t="str">
        <f t="shared" ref="AB1500:AB1530" si="215">B1500&amp;C1500</f>
        <v/>
      </c>
    </row>
    <row r="1501" spans="1:28" s="272" customFormat="1" ht="19.8">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19.8">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19.8">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19.8">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19.8">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19.8">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19.8">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19.8">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19.8">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19.8">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19.8">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19.8">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19.8">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19.8">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19.8">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19.8">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19.8">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19.8">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19.8">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19.8">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19.8">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19.8">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19.8">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19.8">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19.8">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19.8">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19.8">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3"/>
        <v/>
      </c>
      <c r="T1527" s="222" t="str">
        <f ca="1">IF(B1527="","",IF(ISERROR(MATCH($J1527,SorP!$B$1:$B$6230,0)),"",INDIRECT("'SorP'!$A$"&amp;MATCH($J1527,SorP!$B$1:$B$6230,0))))</f>
        <v/>
      </c>
      <c r="U1527" s="238"/>
      <c r="V1527" s="270" t="e">
        <f>IF(C1527="",NA(),MATCH($B1527&amp;$C1527,'Smelter Look-up'!$J:$J,0))</f>
        <v>#N/A</v>
      </c>
      <c r="W1527" s="271"/>
      <c r="X1527" s="271">
        <f t="shared" ca="1" si="214"/>
        <v>0</v>
      </c>
      <c r="Y1527" s="271"/>
      <c r="Z1527" s="271"/>
      <c r="AB1527" s="273" t="str">
        <f t="shared" si="215"/>
        <v/>
      </c>
    </row>
    <row r="1528" spans="1:28" s="272" customFormat="1" ht="19.8">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3"/>
        <v/>
      </c>
      <c r="T1528" s="222" t="str">
        <f ca="1">IF(B1528="","",IF(ISERROR(MATCH($J1528,SorP!$B$1:$B$6230,0)),"",INDIRECT("'SorP'!$A$"&amp;MATCH($J1528,SorP!$B$1:$B$6230,0))))</f>
        <v/>
      </c>
      <c r="U1528" s="238"/>
      <c r="V1528" s="270" t="e">
        <f>IF(C1528="",NA(),MATCH($B1528&amp;$C1528,'Smelter Look-up'!$J:$J,0))</f>
        <v>#N/A</v>
      </c>
      <c r="W1528" s="271"/>
      <c r="X1528" s="271">
        <f t="shared" ca="1" si="214"/>
        <v>0</v>
      </c>
      <c r="Y1528" s="271"/>
      <c r="Z1528" s="271"/>
      <c r="AB1528" s="273" t="str">
        <f t="shared" si="215"/>
        <v/>
      </c>
    </row>
    <row r="1529" spans="1:28" s="272" customFormat="1" ht="19.8">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3"/>
        <v/>
      </c>
      <c r="T1529" s="222" t="str">
        <f ca="1">IF(B1529="","",IF(ISERROR(MATCH($J1529,SorP!$B$1:$B$6230,0)),"",INDIRECT("'SorP'!$A$"&amp;MATCH($J1529,SorP!$B$1:$B$6230,0))))</f>
        <v/>
      </c>
      <c r="U1529" s="238"/>
      <c r="V1529" s="270" t="e">
        <f>IF(C1529="",NA(),MATCH($B1529&amp;$C1529,'Smelter Look-up'!$J:$J,0))</f>
        <v>#N/A</v>
      </c>
      <c r="W1529" s="271"/>
      <c r="X1529" s="271">
        <f t="shared" ca="1" si="214"/>
        <v>0</v>
      </c>
      <c r="Y1529" s="271"/>
      <c r="Z1529" s="271"/>
      <c r="AB1529" s="273" t="str">
        <f t="shared" si="215"/>
        <v/>
      </c>
    </row>
    <row r="1530" spans="1:28" s="272" customFormat="1" ht="19.8">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3"/>
        <v/>
      </c>
      <c r="T1530" s="222" t="str">
        <f ca="1">IF(B1530="","",IF(ISERROR(MATCH($J1530,SorP!$B$1:$B$6230,0)),"",INDIRECT("'SorP'!$A$"&amp;MATCH($J1530,SorP!$B$1:$B$6230,0))))</f>
        <v/>
      </c>
      <c r="U1530" s="238"/>
      <c r="V1530" s="270" t="e">
        <f>IF(C1530="",NA(),MATCH($B1530&amp;$C1530,'Smelter Look-up'!$J:$J,0))</f>
        <v>#N/A</v>
      </c>
      <c r="W1530" s="271"/>
      <c r="X1530" s="271">
        <f t="shared" ca="1" si="214"/>
        <v>0</v>
      </c>
      <c r="Y1530" s="271"/>
      <c r="Z1530" s="271"/>
      <c r="AB1530" s="273" t="str">
        <f t="shared" si="215"/>
        <v/>
      </c>
    </row>
    <row r="1531" spans="1:28" s="272" customFormat="1" ht="19.8">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t="shared" ref="X1531" ca="1" si="217">IF(AND(C1531="Smelter not listed",OR(LEN(D1531)=0,LEN(E1531)=0)),1,0)</f>
        <v>0</v>
      </c>
      <c r="Y1531" s="271"/>
      <c r="Z1531" s="271"/>
      <c r="AB1531" s="273" t="str">
        <f t="shared" ref="AB1531" si="218">B1531&amp;C1531</f>
        <v/>
      </c>
    </row>
    <row r="1532" spans="1:28" s="272" customFormat="1" ht="19.8">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220">IF(AND(C1532="Smelter not listed",OR(LEN(D1532)=0,LEN(E1532)=0)),1,0)</f>
        <v>0</v>
      </c>
      <c r="Y1532" s="271"/>
      <c r="Z1532" s="271"/>
      <c r="AB1532" s="273" t="str">
        <f t="shared" ref="AB1532:AB1563" si="221">B1532&amp;C1532</f>
        <v/>
      </c>
    </row>
    <row r="1533" spans="1:28" s="272" customFormat="1" ht="19.8">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19.8">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19.8">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19.8">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19.8">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19.8">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19.8">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19.8">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19.8">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19.8">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19.8">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19.8">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19.8">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19.8">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19.8">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19.8">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19.8">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19.8">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19.8">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19.8">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19.8">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19.8">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19.8">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19.8">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19.8">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19.8">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19.8">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19.8">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19.8">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19"/>
        <v/>
      </c>
      <c r="T1561" s="222" t="str">
        <f ca="1">IF(B1561="","",IF(ISERROR(MATCH($J1561,SorP!$B$1:$B$6230,0)),"",INDIRECT("'SorP'!$A$"&amp;MATCH($J1561,SorP!$B$1:$B$6230,0))))</f>
        <v/>
      </c>
      <c r="U1561" s="238"/>
      <c r="V1561" s="270" t="e">
        <f>IF(C1561="",NA(),MATCH($B1561&amp;$C1561,'Smelter Look-up'!$J:$J,0))</f>
        <v>#N/A</v>
      </c>
      <c r="W1561" s="271"/>
      <c r="X1561" s="271">
        <f t="shared" ca="1" si="220"/>
        <v>0</v>
      </c>
      <c r="Y1561" s="271"/>
      <c r="Z1561" s="271"/>
      <c r="AB1561" s="273" t="str">
        <f t="shared" si="221"/>
        <v/>
      </c>
    </row>
    <row r="1562" spans="1:28" s="272" customFormat="1" ht="19.8">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19"/>
        <v/>
      </c>
      <c r="T1562" s="222" t="str">
        <f ca="1">IF(B1562="","",IF(ISERROR(MATCH($J1562,SorP!$B$1:$B$6230,0)),"",INDIRECT("'SorP'!$A$"&amp;MATCH($J1562,SorP!$B$1:$B$6230,0))))</f>
        <v/>
      </c>
      <c r="U1562" s="238"/>
      <c r="V1562" s="270" t="e">
        <f>IF(C1562="",NA(),MATCH($B1562&amp;$C1562,'Smelter Look-up'!$J:$J,0))</f>
        <v>#N/A</v>
      </c>
      <c r="W1562" s="271"/>
      <c r="X1562" s="271">
        <f t="shared" ca="1" si="220"/>
        <v>0</v>
      </c>
      <c r="Y1562" s="271"/>
      <c r="Z1562" s="271"/>
      <c r="AB1562" s="273" t="str">
        <f t="shared" si="221"/>
        <v/>
      </c>
    </row>
    <row r="1563" spans="1:28" s="272" customFormat="1" ht="19.8">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19"/>
        <v/>
      </c>
      <c r="T1563" s="222" t="str">
        <f ca="1">IF(B1563="","",IF(ISERROR(MATCH($J1563,SorP!$B$1:$B$6230,0)),"",INDIRECT("'SorP'!$A$"&amp;MATCH($J1563,SorP!$B$1:$B$6230,0))))</f>
        <v/>
      </c>
      <c r="U1563" s="238"/>
      <c r="V1563" s="270" t="e">
        <f>IF(C1563="",NA(),MATCH($B1563&amp;$C1563,'Smelter Look-up'!$J:$J,0))</f>
        <v>#N/A</v>
      </c>
      <c r="W1563" s="271"/>
      <c r="X1563" s="271">
        <f t="shared" ca="1" si="220"/>
        <v>0</v>
      </c>
      <c r="Y1563" s="271"/>
      <c r="Z1563" s="271"/>
      <c r="AB1563" s="273" t="str">
        <f t="shared" si="221"/>
        <v/>
      </c>
    </row>
    <row r="1564" spans="1:28" s="272" customFormat="1" ht="19.8">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223">IF(AND(C1564="Smelter not listed",OR(LEN(D1564)=0,LEN(E1564)=0)),1,0)</f>
        <v>0</v>
      </c>
      <c r="Y1564" s="271"/>
      <c r="Z1564" s="271"/>
      <c r="AB1564" s="273" t="str">
        <f t="shared" ref="AB1564:AB1594" si="224">B1564&amp;C1564</f>
        <v/>
      </c>
    </row>
    <row r="1565" spans="1:28" s="272" customFormat="1" ht="19.8">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19.8">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19.8">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19.8">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19.8">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19.8">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19.8">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19.8">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19.8">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19.8">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19.8">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19.8">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19.8">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19.8">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19.8">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19.8">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19.8">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19.8">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19.8">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19.8">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19.8">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19.8">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19.8">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19.8">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19.8">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19.8">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19.8">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2"/>
        <v/>
      </c>
      <c r="T1591" s="222" t="str">
        <f ca="1">IF(B1591="","",IF(ISERROR(MATCH($J1591,SorP!$B$1:$B$6230,0)),"",INDIRECT("'SorP'!$A$"&amp;MATCH($J1591,SorP!$B$1:$B$6230,0))))</f>
        <v/>
      </c>
      <c r="U1591" s="238"/>
      <c r="V1591" s="270" t="e">
        <f>IF(C1591="",NA(),MATCH($B1591&amp;$C1591,'Smelter Look-up'!$J:$J,0))</f>
        <v>#N/A</v>
      </c>
      <c r="W1591" s="271"/>
      <c r="X1591" s="271">
        <f t="shared" ca="1" si="223"/>
        <v>0</v>
      </c>
      <c r="Y1591" s="271"/>
      <c r="Z1591" s="271"/>
      <c r="AB1591" s="273" t="str">
        <f t="shared" si="224"/>
        <v/>
      </c>
    </row>
    <row r="1592" spans="1:28" s="272" customFormat="1" ht="19.8">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2"/>
        <v/>
      </c>
      <c r="T1592" s="222" t="str">
        <f ca="1">IF(B1592="","",IF(ISERROR(MATCH($J1592,SorP!$B$1:$B$6230,0)),"",INDIRECT("'SorP'!$A$"&amp;MATCH($J1592,SorP!$B$1:$B$6230,0))))</f>
        <v/>
      </c>
      <c r="U1592" s="238"/>
      <c r="V1592" s="270" t="e">
        <f>IF(C1592="",NA(),MATCH($B1592&amp;$C1592,'Smelter Look-up'!$J:$J,0))</f>
        <v>#N/A</v>
      </c>
      <c r="W1592" s="271"/>
      <c r="X1592" s="271">
        <f t="shared" ca="1" si="223"/>
        <v>0</v>
      </c>
      <c r="Y1592" s="271"/>
      <c r="Z1592" s="271"/>
      <c r="AB1592" s="273" t="str">
        <f t="shared" si="224"/>
        <v/>
      </c>
    </row>
    <row r="1593" spans="1:28" s="272" customFormat="1" ht="19.8">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2"/>
        <v/>
      </c>
      <c r="T1593" s="222" t="str">
        <f ca="1">IF(B1593="","",IF(ISERROR(MATCH($J1593,SorP!$B$1:$B$6230,0)),"",INDIRECT("'SorP'!$A$"&amp;MATCH($J1593,SorP!$B$1:$B$6230,0))))</f>
        <v/>
      </c>
      <c r="U1593" s="238"/>
      <c r="V1593" s="270" t="e">
        <f>IF(C1593="",NA(),MATCH($B1593&amp;$C1593,'Smelter Look-up'!$J:$J,0))</f>
        <v>#N/A</v>
      </c>
      <c r="W1593" s="271"/>
      <c r="X1593" s="271">
        <f t="shared" ca="1" si="223"/>
        <v>0</v>
      </c>
      <c r="Y1593" s="271"/>
      <c r="Z1593" s="271"/>
      <c r="AB1593" s="273" t="str">
        <f t="shared" si="224"/>
        <v/>
      </c>
    </row>
    <row r="1594" spans="1:28" s="272" customFormat="1" ht="19.8">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2"/>
        <v/>
      </c>
      <c r="T1594" s="222" t="str">
        <f ca="1">IF(B1594="","",IF(ISERROR(MATCH($J1594,SorP!$B$1:$B$6230,0)),"",INDIRECT("'SorP'!$A$"&amp;MATCH($J1594,SorP!$B$1:$B$6230,0))))</f>
        <v/>
      </c>
      <c r="U1594" s="238"/>
      <c r="V1594" s="270" t="e">
        <f>IF(C1594="",NA(),MATCH($B1594&amp;$C1594,'Smelter Look-up'!$J:$J,0))</f>
        <v>#N/A</v>
      </c>
      <c r="W1594" s="271"/>
      <c r="X1594" s="271">
        <f t="shared" ca="1" si="223"/>
        <v>0</v>
      </c>
      <c r="Y1594" s="271"/>
      <c r="Z1594" s="271"/>
      <c r="AB1594" s="273" t="str">
        <f t="shared" si="224"/>
        <v/>
      </c>
    </row>
    <row r="1595" spans="1:28" s="272" customFormat="1" ht="19.8">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t="shared" ref="X1595" ca="1" si="226">IF(AND(C1595="Smelter not listed",OR(LEN(D1595)=0,LEN(E1595)=0)),1,0)</f>
        <v>0</v>
      </c>
      <c r="Y1595" s="271"/>
      <c r="Z1595" s="271"/>
      <c r="AB1595" s="273" t="str">
        <f t="shared" ref="AB1595" si="227">B1595&amp;C1595</f>
        <v/>
      </c>
    </row>
    <row r="1596" spans="1:28" s="272" customFormat="1" ht="19.8">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229">IF(AND(C1596="Smelter not listed",OR(LEN(D1596)=0,LEN(E1596)=0)),1,0)</f>
        <v>0</v>
      </c>
      <c r="Y1596" s="271"/>
      <c r="Z1596" s="271"/>
      <c r="AB1596" s="273" t="str">
        <f t="shared" ref="AB1596:AB1627" si="230">B1596&amp;C1596</f>
        <v/>
      </c>
    </row>
    <row r="1597" spans="1:28" s="272" customFormat="1" ht="19.8">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19.8">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19.8">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19.8">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19.8">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19.8">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19.8">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19.8">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19.8">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19.8">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19.8">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19.8">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19.8">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19.8">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19.8">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19.8">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19.8">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19.8">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19.8">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19.8">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19.8">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19.8">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19.8">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19.8">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19.8">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19.8">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19.8">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19.8">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19.8">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28"/>
        <v/>
      </c>
      <c r="T1625" s="222" t="str">
        <f ca="1">IF(B1625="","",IF(ISERROR(MATCH($J1625,SorP!$B$1:$B$6230,0)),"",INDIRECT("'SorP'!$A$"&amp;MATCH($J1625,SorP!$B$1:$B$6230,0))))</f>
        <v/>
      </c>
      <c r="U1625" s="238"/>
      <c r="V1625" s="270" t="e">
        <f>IF(C1625="",NA(),MATCH($B1625&amp;$C1625,'Smelter Look-up'!$J:$J,0))</f>
        <v>#N/A</v>
      </c>
      <c r="W1625" s="271"/>
      <c r="X1625" s="271">
        <f t="shared" ca="1" si="229"/>
        <v>0</v>
      </c>
      <c r="Y1625" s="271"/>
      <c r="Z1625" s="271"/>
      <c r="AB1625" s="273" t="str">
        <f t="shared" si="230"/>
        <v/>
      </c>
    </row>
    <row r="1626" spans="1:28" s="272" customFormat="1" ht="19.8">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28"/>
        <v/>
      </c>
      <c r="T1626" s="222" t="str">
        <f ca="1">IF(B1626="","",IF(ISERROR(MATCH($J1626,SorP!$B$1:$B$6230,0)),"",INDIRECT("'SorP'!$A$"&amp;MATCH($J1626,SorP!$B$1:$B$6230,0))))</f>
        <v/>
      </c>
      <c r="U1626" s="238"/>
      <c r="V1626" s="270" t="e">
        <f>IF(C1626="",NA(),MATCH($B1626&amp;$C1626,'Smelter Look-up'!$J:$J,0))</f>
        <v>#N/A</v>
      </c>
      <c r="W1626" s="271"/>
      <c r="X1626" s="271">
        <f t="shared" ca="1" si="229"/>
        <v>0</v>
      </c>
      <c r="Y1626" s="271"/>
      <c r="Z1626" s="271"/>
      <c r="AB1626" s="273" t="str">
        <f t="shared" si="230"/>
        <v/>
      </c>
    </row>
    <row r="1627" spans="1:28" s="272" customFormat="1" ht="19.8">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28"/>
        <v/>
      </c>
      <c r="T1627" s="222" t="str">
        <f ca="1">IF(B1627="","",IF(ISERROR(MATCH($J1627,SorP!$B$1:$B$6230,0)),"",INDIRECT("'SorP'!$A$"&amp;MATCH($J1627,SorP!$B$1:$B$6230,0))))</f>
        <v/>
      </c>
      <c r="U1627" s="238"/>
      <c r="V1627" s="270" t="e">
        <f>IF(C1627="",NA(),MATCH($B1627&amp;$C1627,'Smelter Look-up'!$J:$J,0))</f>
        <v>#N/A</v>
      </c>
      <c r="W1627" s="271"/>
      <c r="X1627" s="271">
        <f t="shared" ca="1" si="229"/>
        <v>0</v>
      </c>
      <c r="Y1627" s="271"/>
      <c r="Z1627" s="271"/>
      <c r="AB1627" s="273" t="str">
        <f t="shared" si="230"/>
        <v/>
      </c>
    </row>
    <row r="1628" spans="1:28" s="272" customFormat="1" ht="19.8">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232">IF(AND(C1628="Smelter not listed",OR(LEN(D1628)=0,LEN(E1628)=0)),1,0)</f>
        <v>0</v>
      </c>
      <c r="Y1628" s="271"/>
      <c r="Z1628" s="271"/>
      <c r="AB1628" s="273" t="str">
        <f t="shared" ref="AB1628:AB1658" si="233">B1628&amp;C1628</f>
        <v/>
      </c>
    </row>
    <row r="1629" spans="1:28" s="272" customFormat="1" ht="19.8">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19.8">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19.8">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19.8">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19.8">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19.8">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19.8">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19.8">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19.8">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19.8">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19.8">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19.8">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19.8">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19.8">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19.8">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19.8">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19.8">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19.8">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19.8">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19.8">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19.8">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19.8">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19.8">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19.8">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19.8">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19.8">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19.8">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1"/>
        <v/>
      </c>
      <c r="T1655" s="222" t="str">
        <f ca="1">IF(B1655="","",IF(ISERROR(MATCH($J1655,SorP!$B$1:$B$6230,0)),"",INDIRECT("'SorP'!$A$"&amp;MATCH($J1655,SorP!$B$1:$B$6230,0))))</f>
        <v/>
      </c>
      <c r="U1655" s="238"/>
      <c r="V1655" s="270" t="e">
        <f>IF(C1655="",NA(),MATCH($B1655&amp;$C1655,'Smelter Look-up'!$J:$J,0))</f>
        <v>#N/A</v>
      </c>
      <c r="W1655" s="271"/>
      <c r="X1655" s="271">
        <f t="shared" ca="1" si="232"/>
        <v>0</v>
      </c>
      <c r="Y1655" s="271"/>
      <c r="Z1655" s="271"/>
      <c r="AB1655" s="273" t="str">
        <f t="shared" si="233"/>
        <v/>
      </c>
    </row>
    <row r="1656" spans="1:28" s="272" customFormat="1" ht="19.8">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1"/>
        <v/>
      </c>
      <c r="T1656" s="222" t="str">
        <f ca="1">IF(B1656="","",IF(ISERROR(MATCH($J1656,SorP!$B$1:$B$6230,0)),"",INDIRECT("'SorP'!$A$"&amp;MATCH($J1656,SorP!$B$1:$B$6230,0))))</f>
        <v/>
      </c>
      <c r="U1656" s="238"/>
      <c r="V1656" s="270" t="e">
        <f>IF(C1656="",NA(),MATCH($B1656&amp;$C1656,'Smelter Look-up'!$J:$J,0))</f>
        <v>#N/A</v>
      </c>
      <c r="W1656" s="271"/>
      <c r="X1656" s="271">
        <f t="shared" ca="1" si="232"/>
        <v>0</v>
      </c>
      <c r="Y1656" s="271"/>
      <c r="Z1656" s="271"/>
      <c r="AB1656" s="273" t="str">
        <f t="shared" si="233"/>
        <v/>
      </c>
    </row>
    <row r="1657" spans="1:28" s="272" customFormat="1" ht="19.8">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1"/>
        <v/>
      </c>
      <c r="T1657" s="222" t="str">
        <f ca="1">IF(B1657="","",IF(ISERROR(MATCH($J1657,SorP!$B$1:$B$6230,0)),"",INDIRECT("'SorP'!$A$"&amp;MATCH($J1657,SorP!$B$1:$B$6230,0))))</f>
        <v/>
      </c>
      <c r="U1657" s="238"/>
      <c r="V1657" s="270" t="e">
        <f>IF(C1657="",NA(),MATCH($B1657&amp;$C1657,'Smelter Look-up'!$J:$J,0))</f>
        <v>#N/A</v>
      </c>
      <c r="W1657" s="271"/>
      <c r="X1657" s="271">
        <f t="shared" ca="1" si="232"/>
        <v>0</v>
      </c>
      <c r="Y1657" s="271"/>
      <c r="Z1657" s="271"/>
      <c r="AB1657" s="273" t="str">
        <f t="shared" si="233"/>
        <v/>
      </c>
    </row>
    <row r="1658" spans="1:28" s="272" customFormat="1" ht="19.8">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1"/>
        <v/>
      </c>
      <c r="T1658" s="222" t="str">
        <f ca="1">IF(B1658="","",IF(ISERROR(MATCH($J1658,SorP!$B$1:$B$6230,0)),"",INDIRECT("'SorP'!$A$"&amp;MATCH($J1658,SorP!$B$1:$B$6230,0))))</f>
        <v/>
      </c>
      <c r="U1658" s="238"/>
      <c r="V1658" s="270" t="e">
        <f>IF(C1658="",NA(),MATCH($B1658&amp;$C1658,'Smelter Look-up'!$J:$J,0))</f>
        <v>#N/A</v>
      </c>
      <c r="W1658" s="271"/>
      <c r="X1658" s="271">
        <f t="shared" ca="1" si="232"/>
        <v>0</v>
      </c>
      <c r="Y1658" s="271"/>
      <c r="Z1658" s="271"/>
      <c r="AB1658" s="273" t="str">
        <f t="shared" si="233"/>
        <v/>
      </c>
    </row>
    <row r="1659" spans="1:28" s="272" customFormat="1" ht="19.8">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t="shared" ref="X1659" ca="1" si="235">IF(AND(C1659="Smelter not listed",OR(LEN(D1659)=0,LEN(E1659)=0)),1,0)</f>
        <v>0</v>
      </c>
      <c r="Y1659" s="271"/>
      <c r="Z1659" s="271"/>
      <c r="AB1659" s="273" t="str">
        <f t="shared" ref="AB1659" si="236">B1659&amp;C1659</f>
        <v/>
      </c>
    </row>
    <row r="1660" spans="1:28" s="272" customFormat="1" ht="19.8">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238">IF(AND(C1660="Smelter not listed",OR(LEN(D1660)=0,LEN(E1660)=0)),1,0)</f>
        <v>0</v>
      </c>
      <c r="Y1660" s="271"/>
      <c r="Z1660" s="271"/>
      <c r="AB1660" s="273" t="str">
        <f t="shared" ref="AB1660:AB1691" si="239">B1660&amp;C1660</f>
        <v/>
      </c>
    </row>
    <row r="1661" spans="1:28" s="272" customFormat="1" ht="19.8">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19.8">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19.8">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19.8">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19.8">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19.8">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19.8">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19.8">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19.8">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19.8">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19.8">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19.8">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19.8">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19.8">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19.8">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19.8">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19.8">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19.8">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19.8">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19.8">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19.8">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19.8">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19.8">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19.8">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19.8">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19.8">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19.8">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19.8">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19.8">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7"/>
        <v/>
      </c>
      <c r="T1689" s="222" t="str">
        <f ca="1">IF(B1689="","",IF(ISERROR(MATCH($J1689,SorP!$B$1:$B$6230,0)),"",INDIRECT("'SorP'!$A$"&amp;MATCH($J1689,SorP!$B$1:$B$6230,0))))</f>
        <v/>
      </c>
      <c r="U1689" s="238"/>
      <c r="V1689" s="270" t="e">
        <f>IF(C1689="",NA(),MATCH($B1689&amp;$C1689,'Smelter Look-up'!$J:$J,0))</f>
        <v>#N/A</v>
      </c>
      <c r="W1689" s="271"/>
      <c r="X1689" s="271">
        <f t="shared" ca="1" si="238"/>
        <v>0</v>
      </c>
      <c r="Y1689" s="271"/>
      <c r="Z1689" s="271"/>
      <c r="AB1689" s="273" t="str">
        <f t="shared" si="239"/>
        <v/>
      </c>
    </row>
    <row r="1690" spans="1:28" s="272" customFormat="1" ht="19.8">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37"/>
        <v/>
      </c>
      <c r="T1690" s="222" t="str">
        <f ca="1">IF(B1690="","",IF(ISERROR(MATCH($J1690,SorP!$B$1:$B$6230,0)),"",INDIRECT("'SorP'!$A$"&amp;MATCH($J1690,SorP!$B$1:$B$6230,0))))</f>
        <v/>
      </c>
      <c r="U1690" s="238"/>
      <c r="V1690" s="270" t="e">
        <f>IF(C1690="",NA(),MATCH($B1690&amp;$C1690,'Smelter Look-up'!$J:$J,0))</f>
        <v>#N/A</v>
      </c>
      <c r="W1690" s="271"/>
      <c r="X1690" s="271">
        <f t="shared" ca="1" si="238"/>
        <v>0</v>
      </c>
      <c r="Y1690" s="271"/>
      <c r="Z1690" s="271"/>
      <c r="AB1690" s="273" t="str">
        <f t="shared" si="239"/>
        <v/>
      </c>
    </row>
    <row r="1691" spans="1:28" s="272" customFormat="1" ht="19.8">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37"/>
        <v/>
      </c>
      <c r="T1691" s="222" t="str">
        <f ca="1">IF(B1691="","",IF(ISERROR(MATCH($J1691,SorP!$B$1:$B$6230,0)),"",INDIRECT("'SorP'!$A$"&amp;MATCH($J1691,SorP!$B$1:$B$6230,0))))</f>
        <v/>
      </c>
      <c r="U1691" s="238"/>
      <c r="V1691" s="270" t="e">
        <f>IF(C1691="",NA(),MATCH($B1691&amp;$C1691,'Smelter Look-up'!$J:$J,0))</f>
        <v>#N/A</v>
      </c>
      <c r="W1691" s="271"/>
      <c r="X1691" s="271">
        <f t="shared" ca="1" si="238"/>
        <v>0</v>
      </c>
      <c r="Y1691" s="271"/>
      <c r="Z1691" s="271"/>
      <c r="AB1691" s="273" t="str">
        <f t="shared" si="239"/>
        <v/>
      </c>
    </row>
    <row r="1692" spans="1:28" s="272" customFormat="1" ht="19.8">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241">IF(AND(C1692="Smelter not listed",OR(LEN(D1692)=0,LEN(E1692)=0)),1,0)</f>
        <v>0</v>
      </c>
      <c r="Y1692" s="271"/>
      <c r="Z1692" s="271"/>
      <c r="AB1692" s="273" t="str">
        <f t="shared" ref="AB1692:AB1722" si="242">B1692&amp;C1692</f>
        <v/>
      </c>
    </row>
    <row r="1693" spans="1:28" s="272" customFormat="1" ht="19.8">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19.8">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19.8">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19.8">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19.8">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19.8">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19.8">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19.8">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19.8">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19.8">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19.8">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19.8">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19.8">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19.8">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19.8">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19.8">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19.8">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19.8">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19.8">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19.8">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19.8">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19.8">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19.8">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19.8">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19.8">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19.8">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19.8">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0"/>
        <v/>
      </c>
      <c r="T1719" s="222" t="str">
        <f ca="1">IF(B1719="","",IF(ISERROR(MATCH($J1719,SorP!$B$1:$B$6230,0)),"",INDIRECT("'SorP'!$A$"&amp;MATCH($J1719,SorP!$B$1:$B$6230,0))))</f>
        <v/>
      </c>
      <c r="U1719" s="238"/>
      <c r="V1719" s="270" t="e">
        <f>IF(C1719="",NA(),MATCH($B1719&amp;$C1719,'Smelter Look-up'!$J:$J,0))</f>
        <v>#N/A</v>
      </c>
      <c r="W1719" s="271"/>
      <c r="X1719" s="271">
        <f t="shared" ca="1" si="241"/>
        <v>0</v>
      </c>
      <c r="Y1719" s="271"/>
      <c r="Z1719" s="271"/>
      <c r="AB1719" s="273" t="str">
        <f t="shared" si="242"/>
        <v/>
      </c>
    </row>
    <row r="1720" spans="1:28" s="272" customFormat="1" ht="19.8">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0"/>
        <v/>
      </c>
      <c r="T1720" s="222" t="str">
        <f ca="1">IF(B1720="","",IF(ISERROR(MATCH($J1720,SorP!$B$1:$B$6230,0)),"",INDIRECT("'SorP'!$A$"&amp;MATCH($J1720,SorP!$B$1:$B$6230,0))))</f>
        <v/>
      </c>
      <c r="U1720" s="238"/>
      <c r="V1720" s="270" t="e">
        <f>IF(C1720="",NA(),MATCH($B1720&amp;$C1720,'Smelter Look-up'!$J:$J,0))</f>
        <v>#N/A</v>
      </c>
      <c r="W1720" s="271"/>
      <c r="X1720" s="271">
        <f t="shared" ca="1" si="241"/>
        <v>0</v>
      </c>
      <c r="Y1720" s="271"/>
      <c r="Z1720" s="271"/>
      <c r="AB1720" s="273" t="str">
        <f t="shared" si="242"/>
        <v/>
      </c>
    </row>
    <row r="1721" spans="1:28" s="272" customFormat="1" ht="19.8">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0"/>
        <v/>
      </c>
      <c r="T1721" s="222" t="str">
        <f ca="1">IF(B1721="","",IF(ISERROR(MATCH($J1721,SorP!$B$1:$B$6230,0)),"",INDIRECT("'SorP'!$A$"&amp;MATCH($J1721,SorP!$B$1:$B$6230,0))))</f>
        <v/>
      </c>
      <c r="U1721" s="238"/>
      <c r="V1721" s="270" t="e">
        <f>IF(C1721="",NA(),MATCH($B1721&amp;$C1721,'Smelter Look-up'!$J:$J,0))</f>
        <v>#N/A</v>
      </c>
      <c r="W1721" s="271"/>
      <c r="X1721" s="271">
        <f t="shared" ca="1" si="241"/>
        <v>0</v>
      </c>
      <c r="Y1721" s="271"/>
      <c r="Z1721" s="271"/>
      <c r="AB1721" s="273" t="str">
        <f t="shared" si="242"/>
        <v/>
      </c>
    </row>
    <row r="1722" spans="1:28" s="272" customFormat="1" ht="19.8">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0"/>
        <v/>
      </c>
      <c r="T1722" s="222" t="str">
        <f ca="1">IF(B1722="","",IF(ISERROR(MATCH($J1722,SorP!$B$1:$B$6230,0)),"",INDIRECT("'SorP'!$A$"&amp;MATCH($J1722,SorP!$B$1:$B$6230,0))))</f>
        <v/>
      </c>
      <c r="U1722" s="238"/>
      <c r="V1722" s="270" t="e">
        <f>IF(C1722="",NA(),MATCH($B1722&amp;$C1722,'Smelter Look-up'!$J:$J,0))</f>
        <v>#N/A</v>
      </c>
      <c r="W1722" s="271"/>
      <c r="X1722" s="271">
        <f t="shared" ca="1" si="241"/>
        <v>0</v>
      </c>
      <c r="Y1722" s="271"/>
      <c r="Z1722" s="271"/>
      <c r="AB1722" s="273" t="str">
        <f t="shared" si="242"/>
        <v/>
      </c>
    </row>
    <row r="1723" spans="1:28" s="272" customFormat="1" ht="19.8">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t="shared" ref="X1723" ca="1" si="244">IF(AND(C1723="Smelter not listed",OR(LEN(D1723)=0,LEN(E1723)=0)),1,0)</f>
        <v>0</v>
      </c>
      <c r="Y1723" s="271"/>
      <c r="Z1723" s="271"/>
      <c r="AB1723" s="273" t="str">
        <f t="shared" ref="AB1723" si="245">B1723&amp;C1723</f>
        <v/>
      </c>
    </row>
    <row r="1724" spans="1:28" s="272" customFormat="1" ht="19.8">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247">IF(AND(C1724="Smelter not listed",OR(LEN(D1724)=0,LEN(E1724)=0)),1,0)</f>
        <v>0</v>
      </c>
      <c r="Y1724" s="271"/>
      <c r="Z1724" s="271"/>
      <c r="AB1724" s="273" t="str">
        <f t="shared" ref="AB1724:AB1755" si="248">B1724&amp;C1724</f>
        <v/>
      </c>
    </row>
    <row r="1725" spans="1:28" s="272" customFormat="1" ht="19.8">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19.8">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19.8">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19.8">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19.8">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19.8">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19.8">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19.8">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19.8">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19.8">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19.8">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19.8">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19.8">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19.8">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19.8">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19.8">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19.8">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19.8">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19.8">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19.8">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19.8">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19.8">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19.8">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19.8">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19.8">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19.8">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19.8">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19.8">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19.8">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6"/>
        <v/>
      </c>
      <c r="T1753" s="222" t="str">
        <f ca="1">IF(B1753="","",IF(ISERROR(MATCH($J1753,SorP!$B$1:$B$6230,0)),"",INDIRECT("'SorP'!$A$"&amp;MATCH($J1753,SorP!$B$1:$B$6230,0))))</f>
        <v/>
      </c>
      <c r="U1753" s="238"/>
      <c r="V1753" s="270" t="e">
        <f>IF(C1753="",NA(),MATCH($B1753&amp;$C1753,'Smelter Look-up'!$J:$J,0))</f>
        <v>#N/A</v>
      </c>
      <c r="W1753" s="271"/>
      <c r="X1753" s="271">
        <f t="shared" ca="1" si="247"/>
        <v>0</v>
      </c>
      <c r="Y1753" s="271"/>
      <c r="Z1753" s="271"/>
      <c r="AB1753" s="273" t="str">
        <f t="shared" si="248"/>
        <v/>
      </c>
    </row>
    <row r="1754" spans="1:28" s="272" customFormat="1" ht="19.8">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6"/>
        <v/>
      </c>
      <c r="T1754" s="222" t="str">
        <f ca="1">IF(B1754="","",IF(ISERROR(MATCH($J1754,SorP!$B$1:$B$6230,0)),"",INDIRECT("'SorP'!$A$"&amp;MATCH($J1754,SorP!$B$1:$B$6230,0))))</f>
        <v/>
      </c>
      <c r="U1754" s="238"/>
      <c r="V1754" s="270" t="e">
        <f>IF(C1754="",NA(),MATCH($B1754&amp;$C1754,'Smelter Look-up'!$J:$J,0))</f>
        <v>#N/A</v>
      </c>
      <c r="W1754" s="271"/>
      <c r="X1754" s="271">
        <f t="shared" ca="1" si="247"/>
        <v>0</v>
      </c>
      <c r="Y1754" s="271"/>
      <c r="Z1754" s="271"/>
      <c r="AB1754" s="273" t="str">
        <f t="shared" si="248"/>
        <v/>
      </c>
    </row>
    <row r="1755" spans="1:28" s="272" customFormat="1" ht="19.8">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6"/>
        <v/>
      </c>
      <c r="T1755" s="222" t="str">
        <f ca="1">IF(B1755="","",IF(ISERROR(MATCH($J1755,SorP!$B$1:$B$6230,0)),"",INDIRECT("'SorP'!$A$"&amp;MATCH($J1755,SorP!$B$1:$B$6230,0))))</f>
        <v/>
      </c>
      <c r="U1755" s="238"/>
      <c r="V1755" s="270" t="e">
        <f>IF(C1755="",NA(),MATCH($B1755&amp;$C1755,'Smelter Look-up'!$J:$J,0))</f>
        <v>#N/A</v>
      </c>
      <c r="W1755" s="271"/>
      <c r="X1755" s="271">
        <f t="shared" ca="1" si="247"/>
        <v>0</v>
      </c>
      <c r="Y1755" s="271"/>
      <c r="Z1755" s="271"/>
      <c r="AB1755" s="273" t="str">
        <f t="shared" si="248"/>
        <v/>
      </c>
    </row>
    <row r="1756" spans="1:28" s="272" customFormat="1" ht="19.8">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250">IF(AND(C1756="Smelter not listed",OR(LEN(D1756)=0,LEN(E1756)=0)),1,0)</f>
        <v>0</v>
      </c>
      <c r="Y1756" s="271"/>
      <c r="Z1756" s="271"/>
      <c r="AB1756" s="273" t="str">
        <f t="shared" ref="AB1756:AB1786" si="251">B1756&amp;C1756</f>
        <v/>
      </c>
    </row>
    <row r="1757" spans="1:28" s="272" customFormat="1" ht="19.8">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19.8">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19.8">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19.8">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19.8">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19.8">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19.8">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19.8">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19.8">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19.8">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19.8">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19.8">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19.8">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19.8">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19.8">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19.8">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19.8">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19.8">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19.8">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19.8">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19.8">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19.8">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19.8">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19.8">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19.8">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19.8">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19.8">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49"/>
        <v/>
      </c>
      <c r="T1783" s="222" t="str">
        <f ca="1">IF(B1783="","",IF(ISERROR(MATCH($J1783,SorP!$B$1:$B$6230,0)),"",INDIRECT("'SorP'!$A$"&amp;MATCH($J1783,SorP!$B$1:$B$6230,0))))</f>
        <v/>
      </c>
      <c r="U1783" s="238"/>
      <c r="V1783" s="270" t="e">
        <f>IF(C1783="",NA(),MATCH($B1783&amp;$C1783,'Smelter Look-up'!$J:$J,0))</f>
        <v>#N/A</v>
      </c>
      <c r="W1783" s="271"/>
      <c r="X1783" s="271">
        <f t="shared" ca="1" si="250"/>
        <v>0</v>
      </c>
      <c r="Y1783" s="271"/>
      <c r="Z1783" s="271"/>
      <c r="AB1783" s="273" t="str">
        <f t="shared" si="251"/>
        <v/>
      </c>
    </row>
    <row r="1784" spans="1:28" s="272" customFormat="1" ht="19.8">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49"/>
        <v/>
      </c>
      <c r="T1784" s="222" t="str">
        <f ca="1">IF(B1784="","",IF(ISERROR(MATCH($J1784,SorP!$B$1:$B$6230,0)),"",INDIRECT("'SorP'!$A$"&amp;MATCH($J1784,SorP!$B$1:$B$6230,0))))</f>
        <v/>
      </c>
      <c r="U1784" s="238"/>
      <c r="V1784" s="270" t="e">
        <f>IF(C1784="",NA(),MATCH($B1784&amp;$C1784,'Smelter Look-up'!$J:$J,0))</f>
        <v>#N/A</v>
      </c>
      <c r="W1784" s="271"/>
      <c r="X1784" s="271">
        <f t="shared" ca="1" si="250"/>
        <v>0</v>
      </c>
      <c r="Y1784" s="271"/>
      <c r="Z1784" s="271"/>
      <c r="AB1784" s="273" t="str">
        <f t="shared" si="251"/>
        <v/>
      </c>
    </row>
    <row r="1785" spans="1:28" s="272" customFormat="1" ht="19.8">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49"/>
        <v/>
      </c>
      <c r="T1785" s="222" t="str">
        <f ca="1">IF(B1785="","",IF(ISERROR(MATCH($J1785,SorP!$B$1:$B$6230,0)),"",INDIRECT("'SorP'!$A$"&amp;MATCH($J1785,SorP!$B$1:$B$6230,0))))</f>
        <v/>
      </c>
      <c r="U1785" s="238"/>
      <c r="V1785" s="270" t="e">
        <f>IF(C1785="",NA(),MATCH($B1785&amp;$C1785,'Smelter Look-up'!$J:$J,0))</f>
        <v>#N/A</v>
      </c>
      <c r="W1785" s="271"/>
      <c r="X1785" s="271">
        <f t="shared" ca="1" si="250"/>
        <v>0</v>
      </c>
      <c r="Y1785" s="271"/>
      <c r="Z1785" s="271"/>
      <c r="AB1785" s="273" t="str">
        <f t="shared" si="251"/>
        <v/>
      </c>
    </row>
    <row r="1786" spans="1:28" s="272" customFormat="1" ht="19.8">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49"/>
        <v/>
      </c>
      <c r="T1786" s="222" t="str">
        <f ca="1">IF(B1786="","",IF(ISERROR(MATCH($J1786,SorP!$B$1:$B$6230,0)),"",INDIRECT("'SorP'!$A$"&amp;MATCH($J1786,SorP!$B$1:$B$6230,0))))</f>
        <v/>
      </c>
      <c r="U1786" s="238"/>
      <c r="V1786" s="270" t="e">
        <f>IF(C1786="",NA(),MATCH($B1786&amp;$C1786,'Smelter Look-up'!$J:$J,0))</f>
        <v>#N/A</v>
      </c>
      <c r="W1786" s="271"/>
      <c r="X1786" s="271">
        <f t="shared" ca="1" si="250"/>
        <v>0</v>
      </c>
      <c r="Y1786" s="271"/>
      <c r="Z1786" s="271"/>
      <c r="AB1786" s="273" t="str">
        <f t="shared" si="251"/>
        <v/>
      </c>
    </row>
    <row r="1787" spans="1:28" s="272" customFormat="1" ht="19.8">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t="shared" ref="X1787" ca="1" si="253">IF(AND(C1787="Smelter not listed",OR(LEN(D1787)=0,LEN(E1787)=0)),1,0)</f>
        <v>0</v>
      </c>
      <c r="Y1787" s="271"/>
      <c r="Z1787" s="271"/>
      <c r="AB1787" s="273" t="str">
        <f t="shared" ref="AB1787" si="254">B1787&amp;C1787</f>
        <v/>
      </c>
    </row>
    <row r="1788" spans="1:28" s="272" customFormat="1" ht="19.8">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256">IF(AND(C1788="Smelter not listed",OR(LEN(D1788)=0,LEN(E1788)=0)),1,0)</f>
        <v>0</v>
      </c>
      <c r="Y1788" s="271"/>
      <c r="Z1788" s="271"/>
      <c r="AB1788" s="273" t="str">
        <f t="shared" ref="AB1788:AB1819" si="257">B1788&amp;C1788</f>
        <v/>
      </c>
    </row>
    <row r="1789" spans="1:28" s="272" customFormat="1" ht="19.8">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19.8">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19.8">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19.8">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19.8">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19.8">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19.8">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19.8">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19.8">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19.8">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19.8">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19.8">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19.8">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19.8">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19.8">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19.8">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19.8">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19.8">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19.8">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19.8">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19.8">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19.8">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19.8">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19.8">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19.8">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19.8">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19.8">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19.8">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19.8">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5"/>
        <v/>
      </c>
      <c r="T1817" s="222" t="str">
        <f ca="1">IF(B1817="","",IF(ISERROR(MATCH($J1817,SorP!$B$1:$B$6230,0)),"",INDIRECT("'SorP'!$A$"&amp;MATCH($J1817,SorP!$B$1:$B$6230,0))))</f>
        <v/>
      </c>
      <c r="U1817" s="238"/>
      <c r="V1817" s="270" t="e">
        <f>IF(C1817="",NA(),MATCH($B1817&amp;$C1817,'Smelter Look-up'!$J:$J,0))</f>
        <v>#N/A</v>
      </c>
      <c r="W1817" s="271"/>
      <c r="X1817" s="271">
        <f t="shared" ca="1" si="256"/>
        <v>0</v>
      </c>
      <c r="Y1817" s="271"/>
      <c r="Z1817" s="271"/>
      <c r="AB1817" s="273" t="str">
        <f t="shared" si="257"/>
        <v/>
      </c>
    </row>
    <row r="1818" spans="1:28" s="272" customFormat="1" ht="19.8">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5"/>
        <v/>
      </c>
      <c r="T1818" s="222" t="str">
        <f ca="1">IF(B1818="","",IF(ISERROR(MATCH($J1818,SorP!$B$1:$B$6230,0)),"",INDIRECT("'SorP'!$A$"&amp;MATCH($J1818,SorP!$B$1:$B$6230,0))))</f>
        <v/>
      </c>
      <c r="U1818" s="238"/>
      <c r="V1818" s="270" t="e">
        <f>IF(C1818="",NA(),MATCH($B1818&amp;$C1818,'Smelter Look-up'!$J:$J,0))</f>
        <v>#N/A</v>
      </c>
      <c r="W1818" s="271"/>
      <c r="X1818" s="271">
        <f t="shared" ca="1" si="256"/>
        <v>0</v>
      </c>
      <c r="Y1818" s="271"/>
      <c r="Z1818" s="271"/>
      <c r="AB1818" s="273" t="str">
        <f t="shared" si="257"/>
        <v/>
      </c>
    </row>
    <row r="1819" spans="1:28" s="272" customFormat="1" ht="19.8">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5"/>
        <v/>
      </c>
      <c r="T1819" s="222" t="str">
        <f ca="1">IF(B1819="","",IF(ISERROR(MATCH($J1819,SorP!$B$1:$B$6230,0)),"",INDIRECT("'SorP'!$A$"&amp;MATCH($J1819,SorP!$B$1:$B$6230,0))))</f>
        <v/>
      </c>
      <c r="U1819" s="238"/>
      <c r="V1819" s="270" t="e">
        <f>IF(C1819="",NA(),MATCH($B1819&amp;$C1819,'Smelter Look-up'!$J:$J,0))</f>
        <v>#N/A</v>
      </c>
      <c r="W1819" s="271"/>
      <c r="X1819" s="271">
        <f t="shared" ca="1" si="256"/>
        <v>0</v>
      </c>
      <c r="Y1819" s="271"/>
      <c r="Z1819" s="271"/>
      <c r="AB1819" s="273" t="str">
        <f t="shared" si="257"/>
        <v/>
      </c>
    </row>
    <row r="1820" spans="1:28" s="272" customFormat="1" ht="19.8">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259">IF(AND(C1820="Smelter not listed",OR(LEN(D1820)=0,LEN(E1820)=0)),1,0)</f>
        <v>0</v>
      </c>
      <c r="Y1820" s="271"/>
      <c r="Z1820" s="271"/>
      <c r="AB1820" s="273" t="str">
        <f t="shared" ref="AB1820:AB1850" si="260">B1820&amp;C1820</f>
        <v/>
      </c>
    </row>
    <row r="1821" spans="1:28" s="272" customFormat="1" ht="19.8">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19.8">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19.8">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19.8">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19.8">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19.8">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19.8">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19.8">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19.8">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19.8">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19.8">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19.8">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19.8">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19.8">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19.8">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19.8">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19.8">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19.8">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19.8">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19.8">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19.8">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19.8">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19.8">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19.8">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19.8">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19.8">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19.8">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58"/>
        <v/>
      </c>
      <c r="T1847" s="222" t="str">
        <f ca="1">IF(B1847="","",IF(ISERROR(MATCH($J1847,SorP!$B$1:$B$6230,0)),"",INDIRECT("'SorP'!$A$"&amp;MATCH($J1847,SorP!$B$1:$B$6230,0))))</f>
        <v/>
      </c>
      <c r="U1847" s="238"/>
      <c r="V1847" s="270" t="e">
        <f>IF(C1847="",NA(),MATCH($B1847&amp;$C1847,'Smelter Look-up'!$J:$J,0))</f>
        <v>#N/A</v>
      </c>
      <c r="W1847" s="271"/>
      <c r="X1847" s="271">
        <f t="shared" ca="1" si="259"/>
        <v>0</v>
      </c>
      <c r="Y1847" s="271"/>
      <c r="Z1847" s="271"/>
      <c r="AB1847" s="273" t="str">
        <f t="shared" si="260"/>
        <v/>
      </c>
    </row>
    <row r="1848" spans="1:28" s="272" customFormat="1" ht="19.8">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58"/>
        <v/>
      </c>
      <c r="T1848" s="222" t="str">
        <f ca="1">IF(B1848="","",IF(ISERROR(MATCH($J1848,SorP!$B$1:$B$6230,0)),"",INDIRECT("'SorP'!$A$"&amp;MATCH($J1848,SorP!$B$1:$B$6230,0))))</f>
        <v/>
      </c>
      <c r="U1848" s="238"/>
      <c r="V1848" s="270" t="e">
        <f>IF(C1848="",NA(),MATCH($B1848&amp;$C1848,'Smelter Look-up'!$J:$J,0))</f>
        <v>#N/A</v>
      </c>
      <c r="W1848" s="271"/>
      <c r="X1848" s="271">
        <f t="shared" ca="1" si="259"/>
        <v>0</v>
      </c>
      <c r="Y1848" s="271"/>
      <c r="Z1848" s="271"/>
      <c r="AB1848" s="273" t="str">
        <f t="shared" si="260"/>
        <v/>
      </c>
    </row>
    <row r="1849" spans="1:28" s="272" customFormat="1" ht="19.8">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58"/>
        <v/>
      </c>
      <c r="T1849" s="222" t="str">
        <f ca="1">IF(B1849="","",IF(ISERROR(MATCH($J1849,SorP!$B$1:$B$6230,0)),"",INDIRECT("'SorP'!$A$"&amp;MATCH($J1849,SorP!$B$1:$B$6230,0))))</f>
        <v/>
      </c>
      <c r="U1849" s="238"/>
      <c r="V1849" s="270" t="e">
        <f>IF(C1849="",NA(),MATCH($B1849&amp;$C1849,'Smelter Look-up'!$J:$J,0))</f>
        <v>#N/A</v>
      </c>
      <c r="W1849" s="271"/>
      <c r="X1849" s="271">
        <f t="shared" ca="1" si="259"/>
        <v>0</v>
      </c>
      <c r="Y1849" s="271"/>
      <c r="Z1849" s="271"/>
      <c r="AB1849" s="273" t="str">
        <f t="shared" si="260"/>
        <v/>
      </c>
    </row>
    <row r="1850" spans="1:28" s="272" customFormat="1" ht="19.8">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58"/>
        <v/>
      </c>
      <c r="T1850" s="222" t="str">
        <f ca="1">IF(B1850="","",IF(ISERROR(MATCH($J1850,SorP!$B$1:$B$6230,0)),"",INDIRECT("'SorP'!$A$"&amp;MATCH($J1850,SorP!$B$1:$B$6230,0))))</f>
        <v/>
      </c>
      <c r="U1850" s="238"/>
      <c r="V1850" s="270" t="e">
        <f>IF(C1850="",NA(),MATCH($B1850&amp;$C1850,'Smelter Look-up'!$J:$J,0))</f>
        <v>#N/A</v>
      </c>
      <c r="W1850" s="271"/>
      <c r="X1850" s="271">
        <f t="shared" ca="1" si="259"/>
        <v>0</v>
      </c>
      <c r="Y1850" s="271"/>
      <c r="Z1850" s="271"/>
      <c r="AB1850" s="273" t="str">
        <f t="shared" si="260"/>
        <v/>
      </c>
    </row>
    <row r="1851" spans="1:28" s="272" customFormat="1" ht="19.8">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t="shared" ref="X1851" ca="1" si="262">IF(AND(C1851="Smelter not listed",OR(LEN(D1851)=0,LEN(E1851)=0)),1,0)</f>
        <v>0</v>
      </c>
      <c r="Y1851" s="271"/>
      <c r="Z1851" s="271"/>
      <c r="AB1851" s="273" t="str">
        <f t="shared" ref="AB1851" si="263">B1851&amp;C1851</f>
        <v/>
      </c>
    </row>
    <row r="1852" spans="1:28" s="272" customFormat="1" ht="19.8">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265">IF(AND(C1852="Smelter not listed",OR(LEN(D1852)=0,LEN(E1852)=0)),1,0)</f>
        <v>0</v>
      </c>
      <c r="Y1852" s="271"/>
      <c r="Z1852" s="271"/>
      <c r="AB1852" s="273" t="str">
        <f t="shared" ref="AB1852:AB1883" si="266">B1852&amp;C1852</f>
        <v/>
      </c>
    </row>
    <row r="1853" spans="1:28" s="272" customFormat="1" ht="19.8">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19.8">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19.8">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19.8">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19.8">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19.8">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19.8">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19.8">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19.8">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19.8">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19.8">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19.8">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19.8">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19.8">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19.8">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19.8">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19.8">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19.8">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19.8">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19.8">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19.8">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19.8">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19.8">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19.8">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19.8">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19.8">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19.8">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19.8">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19.8">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4"/>
        <v/>
      </c>
      <c r="T1881" s="222" t="str">
        <f ca="1">IF(B1881="","",IF(ISERROR(MATCH($J1881,SorP!$B$1:$B$6230,0)),"",INDIRECT("'SorP'!$A$"&amp;MATCH($J1881,SorP!$B$1:$B$6230,0))))</f>
        <v/>
      </c>
      <c r="U1881" s="238"/>
      <c r="V1881" s="270" t="e">
        <f>IF(C1881="",NA(),MATCH($B1881&amp;$C1881,'Smelter Look-up'!$J:$J,0))</f>
        <v>#N/A</v>
      </c>
      <c r="W1881" s="271"/>
      <c r="X1881" s="271">
        <f t="shared" ca="1" si="265"/>
        <v>0</v>
      </c>
      <c r="Y1881" s="271"/>
      <c r="Z1881" s="271"/>
      <c r="AB1881" s="273" t="str">
        <f t="shared" si="266"/>
        <v/>
      </c>
    </row>
    <row r="1882" spans="1:28" s="272" customFormat="1" ht="19.8">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4"/>
        <v/>
      </c>
      <c r="T1882" s="222" t="str">
        <f ca="1">IF(B1882="","",IF(ISERROR(MATCH($J1882,SorP!$B$1:$B$6230,0)),"",INDIRECT("'SorP'!$A$"&amp;MATCH($J1882,SorP!$B$1:$B$6230,0))))</f>
        <v/>
      </c>
      <c r="U1882" s="238"/>
      <c r="V1882" s="270" t="e">
        <f>IF(C1882="",NA(),MATCH($B1882&amp;$C1882,'Smelter Look-up'!$J:$J,0))</f>
        <v>#N/A</v>
      </c>
      <c r="W1882" s="271"/>
      <c r="X1882" s="271">
        <f t="shared" ca="1" si="265"/>
        <v>0</v>
      </c>
      <c r="Y1882" s="271"/>
      <c r="Z1882" s="271"/>
      <c r="AB1882" s="273" t="str">
        <f t="shared" si="266"/>
        <v/>
      </c>
    </row>
    <row r="1883" spans="1:28" s="272" customFormat="1" ht="19.8">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4"/>
        <v/>
      </c>
      <c r="T1883" s="222" t="str">
        <f ca="1">IF(B1883="","",IF(ISERROR(MATCH($J1883,SorP!$B$1:$B$6230,0)),"",INDIRECT("'SorP'!$A$"&amp;MATCH($J1883,SorP!$B$1:$B$6230,0))))</f>
        <v/>
      </c>
      <c r="U1883" s="238"/>
      <c r="V1883" s="270" t="e">
        <f>IF(C1883="",NA(),MATCH($B1883&amp;$C1883,'Smelter Look-up'!$J:$J,0))</f>
        <v>#N/A</v>
      </c>
      <c r="W1883" s="271"/>
      <c r="X1883" s="271">
        <f t="shared" ca="1" si="265"/>
        <v>0</v>
      </c>
      <c r="Y1883" s="271"/>
      <c r="Z1883" s="271"/>
      <c r="AB1883" s="273" t="str">
        <f t="shared" si="266"/>
        <v/>
      </c>
    </row>
    <row r="1884" spans="1:28" s="272" customFormat="1" ht="19.8">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268">IF(AND(C1884="Smelter not listed",OR(LEN(D1884)=0,LEN(E1884)=0)),1,0)</f>
        <v>0</v>
      </c>
      <c r="Y1884" s="271"/>
      <c r="Z1884" s="271"/>
      <c r="AB1884" s="273" t="str">
        <f t="shared" ref="AB1884:AB1914" si="269">B1884&amp;C1884</f>
        <v/>
      </c>
    </row>
    <row r="1885" spans="1:28" s="272" customFormat="1" ht="19.8">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19.8">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19.8">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19.8">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19.8">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19.8">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19.8">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19.8">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19.8">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19.8">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19.8">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19.8">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19.8">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19.8">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19.8">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19.8">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19.8">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19.8">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19.8">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19.8">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19.8">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19.8">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19.8">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19.8">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19.8">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19.8">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19.8">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7"/>
        <v/>
      </c>
      <c r="T1911" s="222" t="str">
        <f ca="1">IF(B1911="","",IF(ISERROR(MATCH($J1911,SorP!$B$1:$B$6230,0)),"",INDIRECT("'SorP'!$A$"&amp;MATCH($J1911,SorP!$B$1:$B$6230,0))))</f>
        <v/>
      </c>
      <c r="U1911" s="238"/>
      <c r="V1911" s="270" t="e">
        <f>IF(C1911="",NA(),MATCH($B1911&amp;$C1911,'Smelter Look-up'!$J:$J,0))</f>
        <v>#N/A</v>
      </c>
      <c r="W1911" s="271"/>
      <c r="X1911" s="271">
        <f t="shared" ca="1" si="268"/>
        <v>0</v>
      </c>
      <c r="Y1911" s="271"/>
      <c r="Z1911" s="271"/>
      <c r="AB1911" s="273" t="str">
        <f t="shared" si="269"/>
        <v/>
      </c>
    </row>
    <row r="1912" spans="1:28" s="272" customFormat="1" ht="19.8">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67"/>
        <v/>
      </c>
      <c r="T1912" s="222" t="str">
        <f ca="1">IF(B1912="","",IF(ISERROR(MATCH($J1912,SorP!$B$1:$B$6230,0)),"",INDIRECT("'SorP'!$A$"&amp;MATCH($J1912,SorP!$B$1:$B$6230,0))))</f>
        <v/>
      </c>
      <c r="U1912" s="238"/>
      <c r="V1912" s="270" t="e">
        <f>IF(C1912="",NA(),MATCH($B1912&amp;$C1912,'Smelter Look-up'!$J:$J,0))</f>
        <v>#N/A</v>
      </c>
      <c r="W1912" s="271"/>
      <c r="X1912" s="271">
        <f t="shared" ca="1" si="268"/>
        <v>0</v>
      </c>
      <c r="Y1912" s="271"/>
      <c r="Z1912" s="271"/>
      <c r="AB1912" s="273" t="str">
        <f t="shared" si="269"/>
        <v/>
      </c>
    </row>
    <row r="1913" spans="1:28" s="272" customFormat="1" ht="19.8">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67"/>
        <v/>
      </c>
      <c r="T1913" s="222" t="str">
        <f ca="1">IF(B1913="","",IF(ISERROR(MATCH($J1913,SorP!$B$1:$B$6230,0)),"",INDIRECT("'SorP'!$A$"&amp;MATCH($J1913,SorP!$B$1:$B$6230,0))))</f>
        <v/>
      </c>
      <c r="U1913" s="238"/>
      <c r="V1913" s="270" t="e">
        <f>IF(C1913="",NA(),MATCH($B1913&amp;$C1913,'Smelter Look-up'!$J:$J,0))</f>
        <v>#N/A</v>
      </c>
      <c r="W1913" s="271"/>
      <c r="X1913" s="271">
        <f t="shared" ca="1" si="268"/>
        <v>0</v>
      </c>
      <c r="Y1913" s="271"/>
      <c r="Z1913" s="271"/>
      <c r="AB1913" s="273" t="str">
        <f t="shared" si="269"/>
        <v/>
      </c>
    </row>
    <row r="1914" spans="1:28" s="272" customFormat="1" ht="19.8">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67"/>
        <v/>
      </c>
      <c r="T1914" s="222" t="str">
        <f ca="1">IF(B1914="","",IF(ISERROR(MATCH($J1914,SorP!$B$1:$B$6230,0)),"",INDIRECT("'SorP'!$A$"&amp;MATCH($J1914,SorP!$B$1:$B$6230,0))))</f>
        <v/>
      </c>
      <c r="U1914" s="238"/>
      <c r="V1914" s="270" t="e">
        <f>IF(C1914="",NA(),MATCH($B1914&amp;$C1914,'Smelter Look-up'!$J:$J,0))</f>
        <v>#N/A</v>
      </c>
      <c r="W1914" s="271"/>
      <c r="X1914" s="271">
        <f t="shared" ca="1" si="268"/>
        <v>0</v>
      </c>
      <c r="Y1914" s="271"/>
      <c r="Z1914" s="271"/>
      <c r="AB1914" s="273" t="str">
        <f t="shared" si="269"/>
        <v/>
      </c>
    </row>
    <row r="1915" spans="1:28" s="272" customFormat="1" ht="19.8">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t="shared" ref="X1915" ca="1" si="271">IF(AND(C1915="Smelter not listed",OR(LEN(D1915)=0,LEN(E1915)=0)),1,0)</f>
        <v>0</v>
      </c>
      <c r="Y1915" s="271"/>
      <c r="Z1915" s="271"/>
      <c r="AB1915" s="273" t="str">
        <f t="shared" ref="AB1915" si="272">B1915&amp;C1915</f>
        <v/>
      </c>
    </row>
    <row r="1916" spans="1:28" s="272" customFormat="1" ht="19.8">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274">IF(AND(C1916="Smelter not listed",OR(LEN(D1916)=0,LEN(E1916)=0)),1,0)</f>
        <v>0</v>
      </c>
      <c r="Y1916" s="271"/>
      <c r="Z1916" s="271"/>
      <c r="AB1916" s="273" t="str">
        <f t="shared" ref="AB1916:AB1947" si="275">B1916&amp;C1916</f>
        <v/>
      </c>
    </row>
    <row r="1917" spans="1:28" s="272" customFormat="1" ht="19.8">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19.8">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19.8">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19.8">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19.8">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19.8">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19.8">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19.8">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19.8">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19.8">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19.8">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19.8">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19.8">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19.8">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19.8">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19.8">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19.8">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19.8">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19.8">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19.8">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19.8">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19.8">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19.8">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19.8">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19.8">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19.8">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19.8">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19.8">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19.8">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3"/>
        <v/>
      </c>
      <c r="T1945" s="222" t="str">
        <f ca="1">IF(B1945="","",IF(ISERROR(MATCH($J1945,SorP!$B$1:$B$6230,0)),"",INDIRECT("'SorP'!$A$"&amp;MATCH($J1945,SorP!$B$1:$B$6230,0))))</f>
        <v/>
      </c>
      <c r="U1945" s="238"/>
      <c r="V1945" s="270" t="e">
        <f>IF(C1945="",NA(),MATCH($B1945&amp;$C1945,'Smelter Look-up'!$J:$J,0))</f>
        <v>#N/A</v>
      </c>
      <c r="W1945" s="271"/>
      <c r="X1945" s="271">
        <f t="shared" ca="1" si="274"/>
        <v>0</v>
      </c>
      <c r="Y1945" s="271"/>
      <c r="Z1945" s="271"/>
      <c r="AB1945" s="273" t="str">
        <f t="shared" si="275"/>
        <v/>
      </c>
    </row>
    <row r="1946" spans="1:28" s="272" customFormat="1" ht="19.8">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3"/>
        <v/>
      </c>
      <c r="T1946" s="222" t="str">
        <f ca="1">IF(B1946="","",IF(ISERROR(MATCH($J1946,SorP!$B$1:$B$6230,0)),"",INDIRECT("'SorP'!$A$"&amp;MATCH($J1946,SorP!$B$1:$B$6230,0))))</f>
        <v/>
      </c>
      <c r="U1946" s="238"/>
      <c r="V1946" s="270" t="e">
        <f>IF(C1946="",NA(),MATCH($B1946&amp;$C1946,'Smelter Look-up'!$J:$J,0))</f>
        <v>#N/A</v>
      </c>
      <c r="W1946" s="271"/>
      <c r="X1946" s="271">
        <f t="shared" ca="1" si="274"/>
        <v>0</v>
      </c>
      <c r="Y1946" s="271"/>
      <c r="Z1946" s="271"/>
      <c r="AB1946" s="273" t="str">
        <f t="shared" si="275"/>
        <v/>
      </c>
    </row>
    <row r="1947" spans="1:28" s="272" customFormat="1" ht="19.8">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3"/>
        <v/>
      </c>
      <c r="T1947" s="222" t="str">
        <f ca="1">IF(B1947="","",IF(ISERROR(MATCH($J1947,SorP!$B$1:$B$6230,0)),"",INDIRECT("'SorP'!$A$"&amp;MATCH($J1947,SorP!$B$1:$B$6230,0))))</f>
        <v/>
      </c>
      <c r="U1947" s="238"/>
      <c r="V1947" s="270" t="e">
        <f>IF(C1947="",NA(),MATCH($B1947&amp;$C1947,'Smelter Look-up'!$J:$J,0))</f>
        <v>#N/A</v>
      </c>
      <c r="W1947" s="271"/>
      <c r="X1947" s="271">
        <f t="shared" ca="1" si="274"/>
        <v>0</v>
      </c>
      <c r="Y1947" s="271"/>
      <c r="Z1947" s="271"/>
      <c r="AB1947" s="273" t="str">
        <f t="shared" si="275"/>
        <v/>
      </c>
    </row>
    <row r="1948" spans="1:28" s="272" customFormat="1" ht="19.8">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277">IF(AND(C1948="Smelter not listed",OR(LEN(D1948)=0,LEN(E1948)=0)),1,0)</f>
        <v>0</v>
      </c>
      <c r="Y1948" s="271"/>
      <c r="Z1948" s="271"/>
      <c r="AB1948" s="273" t="str">
        <f t="shared" ref="AB1948:AB1978" si="278">B1948&amp;C1948</f>
        <v/>
      </c>
    </row>
    <row r="1949" spans="1:28" s="272" customFormat="1" ht="19.8">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19.8">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19.8">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19.8">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19.8">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19.8">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19.8">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19.8">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19.8">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19.8">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19.8">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19.8">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19.8">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19.8">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19.8">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19.8">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19.8">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19.8">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19.8">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19.8">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19.8">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19.8">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19.8">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19.8">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19.8">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19.8">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19.8">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6"/>
        <v/>
      </c>
      <c r="T1975" s="222" t="str">
        <f ca="1">IF(B1975="","",IF(ISERROR(MATCH($J1975,SorP!$B$1:$B$6230,0)),"",INDIRECT("'SorP'!$A$"&amp;MATCH($J1975,SorP!$B$1:$B$6230,0))))</f>
        <v/>
      </c>
      <c r="U1975" s="238"/>
      <c r="V1975" s="270" t="e">
        <f>IF(C1975="",NA(),MATCH($B1975&amp;$C1975,'Smelter Look-up'!$J:$J,0))</f>
        <v>#N/A</v>
      </c>
      <c r="W1975" s="271"/>
      <c r="X1975" s="271">
        <f t="shared" ca="1" si="277"/>
        <v>0</v>
      </c>
      <c r="Y1975" s="271"/>
      <c r="Z1975" s="271"/>
      <c r="AB1975" s="273" t="str">
        <f t="shared" si="278"/>
        <v/>
      </c>
    </row>
    <row r="1976" spans="1:28" s="272" customFormat="1" ht="19.8">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6"/>
        <v/>
      </c>
      <c r="T1976" s="222" t="str">
        <f ca="1">IF(B1976="","",IF(ISERROR(MATCH($J1976,SorP!$B$1:$B$6230,0)),"",INDIRECT("'SorP'!$A$"&amp;MATCH($J1976,SorP!$B$1:$B$6230,0))))</f>
        <v/>
      </c>
      <c r="U1976" s="238"/>
      <c r="V1976" s="270" t="e">
        <f>IF(C1976="",NA(),MATCH($B1976&amp;$C1976,'Smelter Look-up'!$J:$J,0))</f>
        <v>#N/A</v>
      </c>
      <c r="W1976" s="271"/>
      <c r="X1976" s="271">
        <f t="shared" ca="1" si="277"/>
        <v>0</v>
      </c>
      <c r="Y1976" s="271"/>
      <c r="Z1976" s="271"/>
      <c r="AB1976" s="273" t="str">
        <f t="shared" si="278"/>
        <v/>
      </c>
    </row>
    <row r="1977" spans="1:28" s="272" customFormat="1" ht="19.8">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76"/>
        <v/>
      </c>
      <c r="T1977" s="222" t="str">
        <f ca="1">IF(B1977="","",IF(ISERROR(MATCH($J1977,SorP!$B$1:$B$6230,0)),"",INDIRECT("'SorP'!$A$"&amp;MATCH($J1977,SorP!$B$1:$B$6230,0))))</f>
        <v/>
      </c>
      <c r="U1977" s="238"/>
      <c r="V1977" s="270" t="e">
        <f>IF(C1977="",NA(),MATCH($B1977&amp;$C1977,'Smelter Look-up'!$J:$J,0))</f>
        <v>#N/A</v>
      </c>
      <c r="W1977" s="271"/>
      <c r="X1977" s="271">
        <f t="shared" ca="1" si="277"/>
        <v>0</v>
      </c>
      <c r="Y1977" s="271"/>
      <c r="Z1977" s="271"/>
      <c r="AB1977" s="273" t="str">
        <f t="shared" si="278"/>
        <v/>
      </c>
    </row>
    <row r="1978" spans="1:28" s="272" customFormat="1" ht="19.8">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76"/>
        <v/>
      </c>
      <c r="T1978" s="222" t="str">
        <f ca="1">IF(B1978="","",IF(ISERROR(MATCH($J1978,SorP!$B$1:$B$6230,0)),"",INDIRECT("'SorP'!$A$"&amp;MATCH($J1978,SorP!$B$1:$B$6230,0))))</f>
        <v/>
      </c>
      <c r="U1978" s="238"/>
      <c r="V1978" s="270" t="e">
        <f>IF(C1978="",NA(),MATCH($B1978&amp;$C1978,'Smelter Look-up'!$J:$J,0))</f>
        <v>#N/A</v>
      </c>
      <c r="W1978" s="271"/>
      <c r="X1978" s="271">
        <f t="shared" ca="1" si="277"/>
        <v>0</v>
      </c>
      <c r="Y1978" s="271"/>
      <c r="Z1978" s="271"/>
      <c r="AB1978" s="273" t="str">
        <f t="shared" si="278"/>
        <v/>
      </c>
    </row>
    <row r="1979" spans="1:28" s="272" customFormat="1" ht="19.8">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t="shared" ref="X1979" ca="1" si="280">IF(AND(C1979="Smelter not listed",OR(LEN(D1979)=0,LEN(E1979)=0)),1,0)</f>
        <v>0</v>
      </c>
      <c r="Y1979" s="271"/>
      <c r="Z1979" s="271"/>
      <c r="AB1979" s="273" t="str">
        <f t="shared" ref="AB1979" si="281">B1979&amp;C1979</f>
        <v/>
      </c>
    </row>
    <row r="1980" spans="1:28" s="272" customFormat="1" ht="19.8">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283">IF(AND(C1980="Smelter not listed",OR(LEN(D1980)=0,LEN(E1980)=0)),1,0)</f>
        <v>0</v>
      </c>
      <c r="Y1980" s="271"/>
      <c r="Z1980" s="271"/>
      <c r="AB1980" s="273" t="str">
        <f t="shared" ref="AB1980:AB2011" si="284">B1980&amp;C1980</f>
        <v/>
      </c>
    </row>
    <row r="1981" spans="1:28" s="272" customFormat="1" ht="19.8">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19.8">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19.8">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19.8">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19.8">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19.8">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19.8">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19.8">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19.8">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19.8">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19.8">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19.8">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19.8">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19.8">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19.8">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19.8">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19.8">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19.8">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19.8">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19.8">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19.8">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19.8">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19.8">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19.8">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19.8">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19.8">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19.8">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19.8">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19.8">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2"/>
        <v/>
      </c>
      <c r="T2009" s="222" t="str">
        <f ca="1">IF(B2009="","",IF(ISERROR(MATCH($J2009,SorP!$B$1:$B$6230,0)),"",INDIRECT("'SorP'!$A$"&amp;MATCH($J2009,SorP!$B$1:$B$6230,0))))</f>
        <v/>
      </c>
      <c r="U2009" s="238"/>
      <c r="V2009" s="270" t="e">
        <f>IF(C2009="",NA(),MATCH($B2009&amp;$C2009,'Smelter Look-up'!$J:$J,0))</f>
        <v>#N/A</v>
      </c>
      <c r="W2009" s="271"/>
      <c r="X2009" s="271">
        <f t="shared" ca="1" si="283"/>
        <v>0</v>
      </c>
      <c r="Y2009" s="271"/>
      <c r="Z2009" s="271"/>
      <c r="AB2009" s="273" t="str">
        <f t="shared" si="284"/>
        <v/>
      </c>
    </row>
    <row r="2010" spans="1:28" s="272" customFormat="1" ht="19.8">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2"/>
        <v/>
      </c>
      <c r="T2010" s="222" t="str">
        <f ca="1">IF(B2010="","",IF(ISERROR(MATCH($J2010,SorP!$B$1:$B$6230,0)),"",INDIRECT("'SorP'!$A$"&amp;MATCH($J2010,SorP!$B$1:$B$6230,0))))</f>
        <v/>
      </c>
      <c r="U2010" s="238"/>
      <c r="V2010" s="270" t="e">
        <f>IF(C2010="",NA(),MATCH($B2010&amp;$C2010,'Smelter Look-up'!$J:$J,0))</f>
        <v>#N/A</v>
      </c>
      <c r="W2010" s="271"/>
      <c r="X2010" s="271">
        <f t="shared" ca="1" si="283"/>
        <v>0</v>
      </c>
      <c r="Y2010" s="271"/>
      <c r="Z2010" s="271"/>
      <c r="AB2010" s="273" t="str">
        <f t="shared" si="284"/>
        <v/>
      </c>
    </row>
    <row r="2011" spans="1:28" s="272" customFormat="1" ht="19.8">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2"/>
        <v/>
      </c>
      <c r="T2011" s="222" t="str">
        <f ca="1">IF(B2011="","",IF(ISERROR(MATCH($J2011,SorP!$B$1:$B$6230,0)),"",INDIRECT("'SorP'!$A$"&amp;MATCH($J2011,SorP!$B$1:$B$6230,0))))</f>
        <v/>
      </c>
      <c r="U2011" s="238"/>
      <c r="V2011" s="270" t="e">
        <f>IF(C2011="",NA(),MATCH($B2011&amp;$C2011,'Smelter Look-up'!$J:$J,0))</f>
        <v>#N/A</v>
      </c>
      <c r="W2011" s="271"/>
      <c r="X2011" s="271">
        <f t="shared" ca="1" si="283"/>
        <v>0</v>
      </c>
      <c r="Y2011" s="271"/>
      <c r="Z2011" s="271"/>
      <c r="AB2011" s="273" t="str">
        <f t="shared" si="284"/>
        <v/>
      </c>
    </row>
    <row r="2012" spans="1:28" s="272" customFormat="1" ht="19.8">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286">IF(AND(C2012="Smelter not listed",OR(LEN(D2012)=0,LEN(E2012)=0)),1,0)</f>
        <v>0</v>
      </c>
      <c r="Y2012" s="271"/>
      <c r="Z2012" s="271"/>
      <c r="AB2012" s="273" t="str">
        <f t="shared" ref="AB2012:AB2042" si="287">B2012&amp;C2012</f>
        <v/>
      </c>
    </row>
    <row r="2013" spans="1:28" s="272" customFormat="1" ht="19.8">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19.8">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19.8">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19.8">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19.8">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19.8">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19.8">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19.8">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19.8">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19.8">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19.8">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19.8">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19.8">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19.8">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19.8">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19.8">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19.8">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19.8">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19.8">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19.8">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19.8">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19.8">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19.8">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19.8">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19.8">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19.8">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19.8">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5"/>
        <v/>
      </c>
      <c r="T2039" s="222" t="str">
        <f ca="1">IF(B2039="","",IF(ISERROR(MATCH($J2039,SorP!$B$1:$B$6230,0)),"",INDIRECT("'SorP'!$A$"&amp;MATCH($J2039,SorP!$B$1:$B$6230,0))))</f>
        <v/>
      </c>
      <c r="U2039" s="238"/>
      <c r="V2039" s="270" t="e">
        <f>IF(C2039="",NA(),MATCH($B2039&amp;$C2039,'Smelter Look-up'!$J:$J,0))</f>
        <v>#N/A</v>
      </c>
      <c r="W2039" s="271"/>
      <c r="X2039" s="271">
        <f t="shared" ca="1" si="286"/>
        <v>0</v>
      </c>
      <c r="Y2039" s="271"/>
      <c r="Z2039" s="271"/>
      <c r="AB2039" s="273" t="str">
        <f t="shared" si="287"/>
        <v/>
      </c>
    </row>
    <row r="2040" spans="1:28" s="272" customFormat="1" ht="19.8">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5"/>
        <v/>
      </c>
      <c r="T2040" s="222" t="str">
        <f ca="1">IF(B2040="","",IF(ISERROR(MATCH($J2040,SorP!$B$1:$B$6230,0)),"",INDIRECT("'SorP'!$A$"&amp;MATCH($J2040,SorP!$B$1:$B$6230,0))))</f>
        <v/>
      </c>
      <c r="U2040" s="238"/>
      <c r="V2040" s="270" t="e">
        <f>IF(C2040="",NA(),MATCH($B2040&amp;$C2040,'Smelter Look-up'!$J:$J,0))</f>
        <v>#N/A</v>
      </c>
      <c r="W2040" s="271"/>
      <c r="X2040" s="271">
        <f t="shared" ca="1" si="286"/>
        <v>0</v>
      </c>
      <c r="Y2040" s="271"/>
      <c r="Z2040" s="271"/>
      <c r="AB2040" s="273" t="str">
        <f t="shared" si="287"/>
        <v/>
      </c>
    </row>
    <row r="2041" spans="1:28" s="272" customFormat="1" ht="19.8">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85"/>
        <v/>
      </c>
      <c r="T2041" s="222" t="str">
        <f ca="1">IF(B2041="","",IF(ISERROR(MATCH($J2041,SorP!$B$1:$B$6230,0)),"",INDIRECT("'SorP'!$A$"&amp;MATCH($J2041,SorP!$B$1:$B$6230,0))))</f>
        <v/>
      </c>
      <c r="U2041" s="238"/>
      <c r="V2041" s="270" t="e">
        <f>IF(C2041="",NA(),MATCH($B2041&amp;$C2041,'Smelter Look-up'!$J:$J,0))</f>
        <v>#N/A</v>
      </c>
      <c r="W2041" s="271"/>
      <c r="X2041" s="271">
        <f t="shared" ca="1" si="286"/>
        <v>0</v>
      </c>
      <c r="Y2041" s="271"/>
      <c r="Z2041" s="271"/>
      <c r="AB2041" s="273" t="str">
        <f t="shared" si="287"/>
        <v/>
      </c>
    </row>
    <row r="2042" spans="1:28" s="272" customFormat="1" ht="19.8">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85"/>
        <v/>
      </c>
      <c r="T2042" s="222" t="str">
        <f ca="1">IF(B2042="","",IF(ISERROR(MATCH($J2042,SorP!$B$1:$B$6230,0)),"",INDIRECT("'SorP'!$A$"&amp;MATCH($J2042,SorP!$B$1:$B$6230,0))))</f>
        <v/>
      </c>
      <c r="U2042" s="238"/>
      <c r="V2042" s="270" t="e">
        <f>IF(C2042="",NA(),MATCH($B2042&amp;$C2042,'Smelter Look-up'!$J:$J,0))</f>
        <v>#N/A</v>
      </c>
      <c r="W2042" s="271"/>
      <c r="X2042" s="271">
        <f t="shared" ca="1" si="286"/>
        <v>0</v>
      </c>
      <c r="Y2042" s="271"/>
      <c r="Z2042" s="271"/>
      <c r="AB2042" s="273" t="str">
        <f t="shared" si="287"/>
        <v/>
      </c>
    </row>
    <row r="2043" spans="1:28" s="272" customFormat="1" ht="19.8">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t="shared" ref="X2043" ca="1" si="289">IF(AND(C2043="Smelter not listed",OR(LEN(D2043)=0,LEN(E2043)=0)),1,0)</f>
        <v>0</v>
      </c>
      <c r="Y2043" s="271"/>
      <c r="Z2043" s="271"/>
      <c r="AB2043" s="273" t="str">
        <f t="shared" ref="AB2043" si="290">B2043&amp;C2043</f>
        <v/>
      </c>
    </row>
    <row r="2044" spans="1:28" s="272" customFormat="1" ht="19.8">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292">IF(AND(C2044="Smelter not listed",OR(LEN(D2044)=0,LEN(E2044)=0)),1,0)</f>
        <v>0</v>
      </c>
      <c r="Y2044" s="271"/>
      <c r="Z2044" s="271"/>
      <c r="AB2044" s="273" t="str">
        <f t="shared" ref="AB2044:AB2075" si="293">B2044&amp;C2044</f>
        <v/>
      </c>
    </row>
    <row r="2045" spans="1:28" s="272" customFormat="1" ht="19.8">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19.8">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19.8">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19.8">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19.8">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19.8">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19.8">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19.8">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19.8">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19.8">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19.8">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19.8">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19.8">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19.8">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19.8">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19.8">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19.8">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19.8">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19.8">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19.8">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19.8">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19.8">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19.8">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19.8">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19.8">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19.8">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19.8">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19.8">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19.8">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1"/>
        <v/>
      </c>
      <c r="T2073" s="222" t="str">
        <f ca="1">IF(B2073="","",IF(ISERROR(MATCH($J2073,SorP!$B$1:$B$6230,0)),"",INDIRECT("'SorP'!$A$"&amp;MATCH($J2073,SorP!$B$1:$B$6230,0))))</f>
        <v/>
      </c>
      <c r="U2073" s="238"/>
      <c r="V2073" s="270" t="e">
        <f>IF(C2073="",NA(),MATCH($B2073&amp;$C2073,'Smelter Look-up'!$J:$J,0))</f>
        <v>#N/A</v>
      </c>
      <c r="W2073" s="271"/>
      <c r="X2073" s="271">
        <f t="shared" ca="1" si="292"/>
        <v>0</v>
      </c>
      <c r="Y2073" s="271"/>
      <c r="Z2073" s="271"/>
      <c r="AB2073" s="273" t="str">
        <f t="shared" si="293"/>
        <v/>
      </c>
    </row>
    <row r="2074" spans="1:28" s="272" customFormat="1" ht="19.8">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1"/>
        <v/>
      </c>
      <c r="T2074" s="222" t="str">
        <f ca="1">IF(B2074="","",IF(ISERROR(MATCH($J2074,SorP!$B$1:$B$6230,0)),"",INDIRECT("'SorP'!$A$"&amp;MATCH($J2074,SorP!$B$1:$B$6230,0))))</f>
        <v/>
      </c>
      <c r="U2074" s="238"/>
      <c r="V2074" s="270" t="e">
        <f>IF(C2074="",NA(),MATCH($B2074&amp;$C2074,'Smelter Look-up'!$J:$J,0))</f>
        <v>#N/A</v>
      </c>
      <c r="W2074" s="271"/>
      <c r="X2074" s="271">
        <f t="shared" ca="1" si="292"/>
        <v>0</v>
      </c>
      <c r="Y2074" s="271"/>
      <c r="Z2074" s="271"/>
      <c r="AB2074" s="273" t="str">
        <f t="shared" si="293"/>
        <v/>
      </c>
    </row>
    <row r="2075" spans="1:28" s="272" customFormat="1" ht="19.8">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1"/>
        <v/>
      </c>
      <c r="T2075" s="222" t="str">
        <f ca="1">IF(B2075="","",IF(ISERROR(MATCH($J2075,SorP!$B$1:$B$6230,0)),"",INDIRECT("'SorP'!$A$"&amp;MATCH($J2075,SorP!$B$1:$B$6230,0))))</f>
        <v/>
      </c>
      <c r="U2075" s="238"/>
      <c r="V2075" s="270" t="e">
        <f>IF(C2075="",NA(),MATCH($B2075&amp;$C2075,'Smelter Look-up'!$J:$J,0))</f>
        <v>#N/A</v>
      </c>
      <c r="W2075" s="271"/>
      <c r="X2075" s="271">
        <f t="shared" ca="1" si="292"/>
        <v>0</v>
      </c>
      <c r="Y2075" s="271"/>
      <c r="Z2075" s="271"/>
      <c r="AB2075" s="273" t="str">
        <f t="shared" si="293"/>
        <v/>
      </c>
    </row>
    <row r="2076" spans="1:28" s="272" customFormat="1" ht="19.8">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295">IF(AND(C2076="Smelter not listed",OR(LEN(D2076)=0,LEN(E2076)=0)),1,0)</f>
        <v>0</v>
      </c>
      <c r="Y2076" s="271"/>
      <c r="Z2076" s="271"/>
      <c r="AB2076" s="273" t="str">
        <f t="shared" ref="AB2076:AB2106" si="296">B2076&amp;C2076</f>
        <v/>
      </c>
    </row>
    <row r="2077" spans="1:28" s="272" customFormat="1" ht="19.8">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19.8">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19.8">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19.8">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19.8">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19.8">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19.8">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19.8">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19.8">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19.8">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19.8">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19.8">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19.8">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19.8">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19.8">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19.8">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19.8">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19.8">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19.8">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19.8">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19.8">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19.8">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19.8">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19.8">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19.8">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19.8">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19.8">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4"/>
        <v/>
      </c>
      <c r="T2103" s="222" t="str">
        <f ca="1">IF(B2103="","",IF(ISERROR(MATCH($J2103,SorP!$B$1:$B$6230,0)),"",INDIRECT("'SorP'!$A$"&amp;MATCH($J2103,SorP!$B$1:$B$6230,0))))</f>
        <v/>
      </c>
      <c r="U2103" s="238"/>
      <c r="V2103" s="270" t="e">
        <f>IF(C2103="",NA(),MATCH($B2103&amp;$C2103,'Smelter Look-up'!$J:$J,0))</f>
        <v>#N/A</v>
      </c>
      <c r="W2103" s="271"/>
      <c r="X2103" s="271">
        <f t="shared" ca="1" si="295"/>
        <v>0</v>
      </c>
      <c r="Y2103" s="271"/>
      <c r="Z2103" s="271"/>
      <c r="AB2103" s="273" t="str">
        <f t="shared" si="296"/>
        <v/>
      </c>
    </row>
    <row r="2104" spans="1:28" s="272" customFormat="1" ht="19.8">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4"/>
        <v/>
      </c>
      <c r="T2104" s="222" t="str">
        <f ca="1">IF(B2104="","",IF(ISERROR(MATCH($J2104,SorP!$B$1:$B$6230,0)),"",INDIRECT("'SorP'!$A$"&amp;MATCH($J2104,SorP!$B$1:$B$6230,0))))</f>
        <v/>
      </c>
      <c r="U2104" s="238"/>
      <c r="V2104" s="270" t="e">
        <f>IF(C2104="",NA(),MATCH($B2104&amp;$C2104,'Smelter Look-up'!$J:$J,0))</f>
        <v>#N/A</v>
      </c>
      <c r="W2104" s="271"/>
      <c r="X2104" s="271">
        <f t="shared" ca="1" si="295"/>
        <v>0</v>
      </c>
      <c r="Y2104" s="271"/>
      <c r="Z2104" s="271"/>
      <c r="AB2104" s="273" t="str">
        <f t="shared" si="296"/>
        <v/>
      </c>
    </row>
    <row r="2105" spans="1:28" s="272" customFormat="1" ht="19.8">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294"/>
        <v/>
      </c>
      <c r="T2105" s="222" t="str">
        <f ca="1">IF(B2105="","",IF(ISERROR(MATCH($J2105,SorP!$B$1:$B$6230,0)),"",INDIRECT("'SorP'!$A$"&amp;MATCH($J2105,SorP!$B$1:$B$6230,0))))</f>
        <v/>
      </c>
      <c r="U2105" s="238"/>
      <c r="V2105" s="270" t="e">
        <f>IF(C2105="",NA(),MATCH($B2105&amp;$C2105,'Smelter Look-up'!$J:$J,0))</f>
        <v>#N/A</v>
      </c>
      <c r="W2105" s="271"/>
      <c r="X2105" s="271">
        <f t="shared" ca="1" si="295"/>
        <v>0</v>
      </c>
      <c r="Y2105" s="271"/>
      <c r="Z2105" s="271"/>
      <c r="AB2105" s="273" t="str">
        <f t="shared" si="296"/>
        <v/>
      </c>
    </row>
    <row r="2106" spans="1:28" s="272" customFormat="1" ht="19.8">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294"/>
        <v/>
      </c>
      <c r="T2106" s="222" t="str">
        <f ca="1">IF(B2106="","",IF(ISERROR(MATCH($J2106,SorP!$B$1:$B$6230,0)),"",INDIRECT("'SorP'!$A$"&amp;MATCH($J2106,SorP!$B$1:$B$6230,0))))</f>
        <v/>
      </c>
      <c r="U2106" s="238"/>
      <c r="V2106" s="270" t="e">
        <f>IF(C2106="",NA(),MATCH($B2106&amp;$C2106,'Smelter Look-up'!$J:$J,0))</f>
        <v>#N/A</v>
      </c>
      <c r="W2106" s="271"/>
      <c r="X2106" s="271">
        <f t="shared" ca="1" si="295"/>
        <v>0</v>
      </c>
      <c r="Y2106" s="271"/>
      <c r="Z2106" s="271"/>
      <c r="AB2106" s="273" t="str">
        <f t="shared" si="296"/>
        <v/>
      </c>
    </row>
    <row r="2107" spans="1:28" s="272" customFormat="1" ht="19.8">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t="shared" ref="X2107" ca="1" si="298">IF(AND(C2107="Smelter not listed",OR(LEN(D2107)=0,LEN(E2107)=0)),1,0)</f>
        <v>0</v>
      </c>
      <c r="Y2107" s="271"/>
      <c r="Z2107" s="271"/>
      <c r="AB2107" s="273" t="str">
        <f t="shared" ref="AB2107" si="299">B2107&amp;C2107</f>
        <v/>
      </c>
    </row>
    <row r="2108" spans="1:28" s="272" customFormat="1" ht="19.8">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301">IF(AND(C2108="Smelter not listed",OR(LEN(D2108)=0,LEN(E2108)=0)),1,0)</f>
        <v>0</v>
      </c>
      <c r="Y2108" s="271"/>
      <c r="Z2108" s="271"/>
      <c r="AB2108" s="273" t="str">
        <f t="shared" ref="AB2108:AB2139" si="302">B2108&amp;C2108</f>
        <v/>
      </c>
    </row>
    <row r="2109" spans="1:28" s="272" customFormat="1" ht="19.8">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19.8">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19.8">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19.8">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19.8">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19.8">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19.8">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19.8">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19.8">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19.8">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19.8">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19.8">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19.8">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19.8">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19.8">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19.8">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19.8">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19.8">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19.8">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19.8">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19.8">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19.8">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19.8">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19.8">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19.8">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19.8">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19.8">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19.8">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19.8">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0"/>
        <v/>
      </c>
      <c r="T2137" s="222" t="str">
        <f ca="1">IF(B2137="","",IF(ISERROR(MATCH($J2137,SorP!$B$1:$B$6230,0)),"",INDIRECT("'SorP'!$A$"&amp;MATCH($J2137,SorP!$B$1:$B$6230,0))))</f>
        <v/>
      </c>
      <c r="U2137" s="238"/>
      <c r="V2137" s="270" t="e">
        <f>IF(C2137="",NA(),MATCH($B2137&amp;$C2137,'Smelter Look-up'!$J:$J,0))</f>
        <v>#N/A</v>
      </c>
      <c r="W2137" s="271"/>
      <c r="X2137" s="271">
        <f t="shared" ca="1" si="301"/>
        <v>0</v>
      </c>
      <c r="Y2137" s="271"/>
      <c r="Z2137" s="271"/>
      <c r="AB2137" s="273" t="str">
        <f t="shared" si="302"/>
        <v/>
      </c>
    </row>
    <row r="2138" spans="1:28" s="272" customFormat="1" ht="19.8">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0"/>
        <v/>
      </c>
      <c r="T2138" s="222" t="str">
        <f ca="1">IF(B2138="","",IF(ISERROR(MATCH($J2138,SorP!$B$1:$B$6230,0)),"",INDIRECT("'SorP'!$A$"&amp;MATCH($J2138,SorP!$B$1:$B$6230,0))))</f>
        <v/>
      </c>
      <c r="U2138" s="238"/>
      <c r="V2138" s="270" t="e">
        <f>IF(C2138="",NA(),MATCH($B2138&amp;$C2138,'Smelter Look-up'!$J:$J,0))</f>
        <v>#N/A</v>
      </c>
      <c r="W2138" s="271"/>
      <c r="X2138" s="271">
        <f t="shared" ca="1" si="301"/>
        <v>0</v>
      </c>
      <c r="Y2138" s="271"/>
      <c r="Z2138" s="271"/>
      <c r="AB2138" s="273" t="str">
        <f t="shared" si="302"/>
        <v/>
      </c>
    </row>
    <row r="2139" spans="1:28" s="272" customFormat="1" ht="19.8">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0"/>
        <v/>
      </c>
      <c r="T2139" s="222" t="str">
        <f ca="1">IF(B2139="","",IF(ISERROR(MATCH($J2139,SorP!$B$1:$B$6230,0)),"",INDIRECT("'SorP'!$A$"&amp;MATCH($J2139,SorP!$B$1:$B$6230,0))))</f>
        <v/>
      </c>
      <c r="U2139" s="238"/>
      <c r="V2139" s="270" t="e">
        <f>IF(C2139="",NA(),MATCH($B2139&amp;$C2139,'Smelter Look-up'!$J:$J,0))</f>
        <v>#N/A</v>
      </c>
      <c r="W2139" s="271"/>
      <c r="X2139" s="271">
        <f t="shared" ca="1" si="301"/>
        <v>0</v>
      </c>
      <c r="Y2139" s="271"/>
      <c r="Z2139" s="271"/>
      <c r="AB2139" s="273" t="str">
        <f t="shared" si="302"/>
        <v/>
      </c>
    </row>
    <row r="2140" spans="1:28" s="272" customFormat="1" ht="19.8">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304">IF(AND(C2140="Smelter not listed",OR(LEN(D2140)=0,LEN(E2140)=0)),1,0)</f>
        <v>0</v>
      </c>
      <c r="Y2140" s="271"/>
      <c r="Z2140" s="271"/>
      <c r="AB2140" s="273" t="str">
        <f t="shared" ref="AB2140:AB2170" si="305">B2140&amp;C2140</f>
        <v/>
      </c>
    </row>
    <row r="2141" spans="1:28" s="272" customFormat="1" ht="19.8">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19.8">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19.8">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19.8">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19.8">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19.8">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19.8">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19.8">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19.8">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19.8">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19.8">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19.8">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19.8">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19.8">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19.8">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19.8">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19.8">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19.8">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19.8">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19.8">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19.8">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19.8">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19.8">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19.8">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19.8">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19.8">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19.8">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3"/>
        <v/>
      </c>
      <c r="T2167" s="222" t="str">
        <f ca="1">IF(B2167="","",IF(ISERROR(MATCH($J2167,SorP!$B$1:$B$6230,0)),"",INDIRECT("'SorP'!$A$"&amp;MATCH($J2167,SorP!$B$1:$B$6230,0))))</f>
        <v/>
      </c>
      <c r="U2167" s="238"/>
      <c r="V2167" s="270" t="e">
        <f>IF(C2167="",NA(),MATCH($B2167&amp;$C2167,'Smelter Look-up'!$J:$J,0))</f>
        <v>#N/A</v>
      </c>
      <c r="W2167" s="271"/>
      <c r="X2167" s="271">
        <f t="shared" ca="1" si="304"/>
        <v>0</v>
      </c>
      <c r="Y2167" s="271"/>
      <c r="Z2167" s="271"/>
      <c r="AB2167" s="273" t="str">
        <f t="shared" si="305"/>
        <v/>
      </c>
    </row>
    <row r="2168" spans="1:28" s="272" customFormat="1" ht="19.8">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3"/>
        <v/>
      </c>
      <c r="T2168" s="222" t="str">
        <f ca="1">IF(B2168="","",IF(ISERROR(MATCH($J2168,SorP!$B$1:$B$6230,0)),"",INDIRECT("'SorP'!$A$"&amp;MATCH($J2168,SorP!$B$1:$B$6230,0))))</f>
        <v/>
      </c>
      <c r="U2168" s="238"/>
      <c r="V2168" s="270" t="e">
        <f>IF(C2168="",NA(),MATCH($B2168&amp;$C2168,'Smelter Look-up'!$J:$J,0))</f>
        <v>#N/A</v>
      </c>
      <c r="W2168" s="271"/>
      <c r="X2168" s="271">
        <f t="shared" ca="1" si="304"/>
        <v>0</v>
      </c>
      <c r="Y2168" s="271"/>
      <c r="Z2168" s="271"/>
      <c r="AB2168" s="273" t="str">
        <f t="shared" si="305"/>
        <v/>
      </c>
    </row>
    <row r="2169" spans="1:28" s="272" customFormat="1" ht="19.8">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3"/>
        <v/>
      </c>
      <c r="T2169" s="222" t="str">
        <f ca="1">IF(B2169="","",IF(ISERROR(MATCH($J2169,SorP!$B$1:$B$6230,0)),"",INDIRECT("'SorP'!$A$"&amp;MATCH($J2169,SorP!$B$1:$B$6230,0))))</f>
        <v/>
      </c>
      <c r="U2169" s="238"/>
      <c r="V2169" s="270" t="e">
        <f>IF(C2169="",NA(),MATCH($B2169&amp;$C2169,'Smelter Look-up'!$J:$J,0))</f>
        <v>#N/A</v>
      </c>
      <c r="W2169" s="271"/>
      <c r="X2169" s="271">
        <f t="shared" ca="1" si="304"/>
        <v>0</v>
      </c>
      <c r="Y2169" s="271"/>
      <c r="Z2169" s="271"/>
      <c r="AB2169" s="273" t="str">
        <f t="shared" si="305"/>
        <v/>
      </c>
    </row>
    <row r="2170" spans="1:28" s="272" customFormat="1" ht="19.8">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3"/>
        <v/>
      </c>
      <c r="T2170" s="222" t="str">
        <f ca="1">IF(B2170="","",IF(ISERROR(MATCH($J2170,SorP!$B$1:$B$6230,0)),"",INDIRECT("'SorP'!$A$"&amp;MATCH($J2170,SorP!$B$1:$B$6230,0))))</f>
        <v/>
      </c>
      <c r="U2170" s="238"/>
      <c r="V2170" s="270" t="e">
        <f>IF(C2170="",NA(),MATCH($B2170&amp;$C2170,'Smelter Look-up'!$J:$J,0))</f>
        <v>#N/A</v>
      </c>
      <c r="W2170" s="271"/>
      <c r="X2170" s="271">
        <f t="shared" ca="1" si="304"/>
        <v>0</v>
      </c>
      <c r="Y2170" s="271"/>
      <c r="Z2170" s="271"/>
      <c r="AB2170" s="273" t="str">
        <f t="shared" si="305"/>
        <v/>
      </c>
    </row>
    <row r="2171" spans="1:28" s="272" customFormat="1" ht="19.8">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t="shared" ref="X2171" ca="1" si="307">IF(AND(C2171="Smelter not listed",OR(LEN(D2171)=0,LEN(E2171)=0)),1,0)</f>
        <v>0</v>
      </c>
      <c r="Y2171" s="271"/>
      <c r="Z2171" s="271"/>
      <c r="AB2171" s="273" t="str">
        <f t="shared" ref="AB2171" si="308">B2171&amp;C2171</f>
        <v/>
      </c>
    </row>
    <row r="2172" spans="1:28" s="272" customFormat="1" ht="19.8">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310">IF(AND(C2172="Smelter not listed",OR(LEN(D2172)=0,LEN(E2172)=0)),1,0)</f>
        <v>0</v>
      </c>
      <c r="Y2172" s="271"/>
      <c r="Z2172" s="271"/>
      <c r="AB2172" s="273" t="str">
        <f t="shared" ref="AB2172:AB2203" si="311">B2172&amp;C2172</f>
        <v/>
      </c>
    </row>
    <row r="2173" spans="1:28" s="272" customFormat="1" ht="19.8">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19.8">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19.8">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19.8">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19.8">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19.8">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19.8">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19.8">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19.8">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19.8">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19.8">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19.8">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19.8">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19.8">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19.8">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19.8">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19.8">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19.8">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19.8">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19.8">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19.8">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19.8">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19.8">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19.8">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19.8">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19.8">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19.8">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19.8">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19.8">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09"/>
        <v/>
      </c>
      <c r="T2201" s="222" t="str">
        <f ca="1">IF(B2201="","",IF(ISERROR(MATCH($J2201,SorP!$B$1:$B$6230,0)),"",INDIRECT("'SorP'!$A$"&amp;MATCH($J2201,SorP!$B$1:$B$6230,0))))</f>
        <v/>
      </c>
      <c r="U2201" s="238"/>
      <c r="V2201" s="270" t="e">
        <f>IF(C2201="",NA(),MATCH($B2201&amp;$C2201,'Smelter Look-up'!$J:$J,0))</f>
        <v>#N/A</v>
      </c>
      <c r="W2201" s="271"/>
      <c r="X2201" s="271">
        <f t="shared" ca="1" si="310"/>
        <v>0</v>
      </c>
      <c r="Y2201" s="271"/>
      <c r="Z2201" s="271"/>
      <c r="AB2201" s="273" t="str">
        <f t="shared" si="311"/>
        <v/>
      </c>
    </row>
    <row r="2202" spans="1:28" s="272" customFormat="1" ht="19.8">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09"/>
        <v/>
      </c>
      <c r="T2202" s="222" t="str">
        <f ca="1">IF(B2202="","",IF(ISERROR(MATCH($J2202,SorP!$B$1:$B$6230,0)),"",INDIRECT("'SorP'!$A$"&amp;MATCH($J2202,SorP!$B$1:$B$6230,0))))</f>
        <v/>
      </c>
      <c r="U2202" s="238"/>
      <c r="V2202" s="270" t="e">
        <f>IF(C2202="",NA(),MATCH($B2202&amp;$C2202,'Smelter Look-up'!$J:$J,0))</f>
        <v>#N/A</v>
      </c>
      <c r="W2202" s="271"/>
      <c r="X2202" s="271">
        <f t="shared" ca="1" si="310"/>
        <v>0</v>
      </c>
      <c r="Y2202" s="271"/>
      <c r="Z2202" s="271"/>
      <c r="AB2202" s="273" t="str">
        <f t="shared" si="311"/>
        <v/>
      </c>
    </row>
    <row r="2203" spans="1:28" s="272" customFormat="1" ht="19.8">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09"/>
        <v/>
      </c>
      <c r="T2203" s="222" t="str">
        <f ca="1">IF(B2203="","",IF(ISERROR(MATCH($J2203,SorP!$B$1:$B$6230,0)),"",INDIRECT("'SorP'!$A$"&amp;MATCH($J2203,SorP!$B$1:$B$6230,0))))</f>
        <v/>
      </c>
      <c r="U2203" s="238"/>
      <c r="V2203" s="270" t="e">
        <f>IF(C2203="",NA(),MATCH($B2203&amp;$C2203,'Smelter Look-up'!$J:$J,0))</f>
        <v>#N/A</v>
      </c>
      <c r="W2203" s="271"/>
      <c r="X2203" s="271">
        <f t="shared" ca="1" si="310"/>
        <v>0</v>
      </c>
      <c r="Y2203" s="271"/>
      <c r="Z2203" s="271"/>
      <c r="AB2203" s="273" t="str">
        <f t="shared" si="311"/>
        <v/>
      </c>
    </row>
    <row r="2204" spans="1:28" s="272" customFormat="1" ht="19.8">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313">IF(AND(C2204="Smelter not listed",OR(LEN(D2204)=0,LEN(E2204)=0)),1,0)</f>
        <v>0</v>
      </c>
      <c r="Y2204" s="271"/>
      <c r="Z2204" s="271"/>
      <c r="AB2204" s="273" t="str">
        <f t="shared" ref="AB2204:AB2234" si="314">B2204&amp;C2204</f>
        <v/>
      </c>
    </row>
    <row r="2205" spans="1:28" s="272" customFormat="1" ht="19.8">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19.8">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19.8">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19.8">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19.8">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19.8">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19.8">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19.8">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19.8">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19.8">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19.8">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19.8">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19.8">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19.8">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19.8">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19.8">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19.8">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19.8">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19.8">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19.8">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19.8">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19.8">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19.8">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19.8">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19.8">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19.8">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19.8">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2"/>
        <v/>
      </c>
      <c r="T2231" s="222" t="str">
        <f ca="1">IF(B2231="","",IF(ISERROR(MATCH($J2231,SorP!$B$1:$B$6230,0)),"",INDIRECT("'SorP'!$A$"&amp;MATCH($J2231,SorP!$B$1:$B$6230,0))))</f>
        <v/>
      </c>
      <c r="U2231" s="238"/>
      <c r="V2231" s="270" t="e">
        <f>IF(C2231="",NA(),MATCH($B2231&amp;$C2231,'Smelter Look-up'!$J:$J,0))</f>
        <v>#N/A</v>
      </c>
      <c r="W2231" s="271"/>
      <c r="X2231" s="271">
        <f t="shared" ca="1" si="313"/>
        <v>0</v>
      </c>
      <c r="Y2231" s="271"/>
      <c r="Z2231" s="271"/>
      <c r="AB2231" s="273" t="str">
        <f t="shared" si="314"/>
        <v/>
      </c>
    </row>
    <row r="2232" spans="1:28" s="272" customFormat="1" ht="19.8">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2"/>
        <v/>
      </c>
      <c r="T2232" s="222" t="str">
        <f ca="1">IF(B2232="","",IF(ISERROR(MATCH($J2232,SorP!$B$1:$B$6230,0)),"",INDIRECT("'SorP'!$A$"&amp;MATCH($J2232,SorP!$B$1:$B$6230,0))))</f>
        <v/>
      </c>
      <c r="U2232" s="238"/>
      <c r="V2232" s="270" t="e">
        <f>IF(C2232="",NA(),MATCH($B2232&amp;$C2232,'Smelter Look-up'!$J:$J,0))</f>
        <v>#N/A</v>
      </c>
      <c r="W2232" s="271"/>
      <c r="X2232" s="271">
        <f t="shared" ca="1" si="313"/>
        <v>0</v>
      </c>
      <c r="Y2232" s="271"/>
      <c r="Z2232" s="271"/>
      <c r="AB2232" s="273" t="str">
        <f t="shared" si="314"/>
        <v/>
      </c>
    </row>
    <row r="2233" spans="1:28" s="272" customFormat="1" ht="19.8">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2"/>
        <v/>
      </c>
      <c r="T2233" s="222" t="str">
        <f ca="1">IF(B2233="","",IF(ISERROR(MATCH($J2233,SorP!$B$1:$B$6230,0)),"",INDIRECT("'SorP'!$A$"&amp;MATCH($J2233,SorP!$B$1:$B$6230,0))))</f>
        <v/>
      </c>
      <c r="U2233" s="238"/>
      <c r="V2233" s="270" t="e">
        <f>IF(C2233="",NA(),MATCH($B2233&amp;$C2233,'Smelter Look-up'!$J:$J,0))</f>
        <v>#N/A</v>
      </c>
      <c r="W2233" s="271"/>
      <c r="X2233" s="271">
        <f t="shared" ca="1" si="313"/>
        <v>0</v>
      </c>
      <c r="Y2233" s="271"/>
      <c r="Z2233" s="271"/>
      <c r="AB2233" s="273" t="str">
        <f t="shared" si="314"/>
        <v/>
      </c>
    </row>
    <row r="2234" spans="1:28" s="272" customFormat="1" ht="19.8">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2"/>
        <v/>
      </c>
      <c r="T2234" s="222" t="str">
        <f ca="1">IF(B2234="","",IF(ISERROR(MATCH($J2234,SorP!$B$1:$B$6230,0)),"",INDIRECT("'SorP'!$A$"&amp;MATCH($J2234,SorP!$B$1:$B$6230,0))))</f>
        <v/>
      </c>
      <c r="U2234" s="238"/>
      <c r="V2234" s="270" t="e">
        <f>IF(C2234="",NA(),MATCH($B2234&amp;$C2234,'Smelter Look-up'!$J:$J,0))</f>
        <v>#N/A</v>
      </c>
      <c r="W2234" s="271"/>
      <c r="X2234" s="271">
        <f t="shared" ca="1" si="313"/>
        <v>0</v>
      </c>
      <c r="Y2234" s="271"/>
      <c r="Z2234" s="271"/>
      <c r="AB2234" s="273" t="str">
        <f t="shared" si="314"/>
        <v/>
      </c>
    </row>
    <row r="2235" spans="1:28" s="272" customFormat="1" ht="19.8">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t="shared" ref="X2235" ca="1" si="316">IF(AND(C2235="Smelter not listed",OR(LEN(D2235)=0,LEN(E2235)=0)),1,0)</f>
        <v>0</v>
      </c>
      <c r="Y2235" s="271"/>
      <c r="Z2235" s="271"/>
      <c r="AB2235" s="273" t="str">
        <f t="shared" ref="AB2235" si="317">B2235&amp;C2235</f>
        <v/>
      </c>
    </row>
    <row r="2236" spans="1:28" s="272" customFormat="1" ht="19.8">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319">IF(AND(C2236="Smelter not listed",OR(LEN(D2236)=0,LEN(E2236)=0)),1,0)</f>
        <v>0</v>
      </c>
      <c r="Y2236" s="271"/>
      <c r="Z2236" s="271"/>
      <c r="AB2236" s="273" t="str">
        <f t="shared" ref="AB2236:AB2267" si="320">B2236&amp;C2236</f>
        <v/>
      </c>
    </row>
    <row r="2237" spans="1:28" s="272" customFormat="1" ht="19.8">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19.8">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19.8">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19.8">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19.8">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19.8">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19.8">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19.8">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19.8">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19.8">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19.8">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19.8">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19.8">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19.8">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19.8">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19.8">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19.8">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19.8">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19.8">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19.8">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19.8">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19.8">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19.8">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19.8">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19.8">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19.8">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19.8">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19.8">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19.8">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18"/>
        <v/>
      </c>
      <c r="T2265" s="222" t="str">
        <f ca="1">IF(B2265="","",IF(ISERROR(MATCH($J2265,SorP!$B$1:$B$6230,0)),"",INDIRECT("'SorP'!$A$"&amp;MATCH($J2265,SorP!$B$1:$B$6230,0))))</f>
        <v/>
      </c>
      <c r="U2265" s="238"/>
      <c r="V2265" s="270" t="e">
        <f>IF(C2265="",NA(),MATCH($B2265&amp;$C2265,'Smelter Look-up'!$J:$J,0))</f>
        <v>#N/A</v>
      </c>
      <c r="W2265" s="271"/>
      <c r="X2265" s="271">
        <f t="shared" ca="1" si="319"/>
        <v>0</v>
      </c>
      <c r="Y2265" s="271"/>
      <c r="Z2265" s="271"/>
      <c r="AB2265" s="273" t="str">
        <f t="shared" si="320"/>
        <v/>
      </c>
    </row>
    <row r="2266" spans="1:28" s="272" customFormat="1" ht="19.8">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18"/>
        <v/>
      </c>
      <c r="T2266" s="222" t="str">
        <f ca="1">IF(B2266="","",IF(ISERROR(MATCH($J2266,SorP!$B$1:$B$6230,0)),"",INDIRECT("'SorP'!$A$"&amp;MATCH($J2266,SorP!$B$1:$B$6230,0))))</f>
        <v/>
      </c>
      <c r="U2266" s="238"/>
      <c r="V2266" s="270" t="e">
        <f>IF(C2266="",NA(),MATCH($B2266&amp;$C2266,'Smelter Look-up'!$J:$J,0))</f>
        <v>#N/A</v>
      </c>
      <c r="W2266" s="271"/>
      <c r="X2266" s="271">
        <f t="shared" ca="1" si="319"/>
        <v>0</v>
      </c>
      <c r="Y2266" s="271"/>
      <c r="Z2266" s="271"/>
      <c r="AB2266" s="273" t="str">
        <f t="shared" si="320"/>
        <v/>
      </c>
    </row>
    <row r="2267" spans="1:28" s="272" customFormat="1" ht="19.8">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18"/>
        <v/>
      </c>
      <c r="T2267" s="222" t="str">
        <f ca="1">IF(B2267="","",IF(ISERROR(MATCH($J2267,SorP!$B$1:$B$6230,0)),"",INDIRECT("'SorP'!$A$"&amp;MATCH($J2267,SorP!$B$1:$B$6230,0))))</f>
        <v/>
      </c>
      <c r="U2267" s="238"/>
      <c r="V2267" s="270" t="e">
        <f>IF(C2267="",NA(),MATCH($B2267&amp;$C2267,'Smelter Look-up'!$J:$J,0))</f>
        <v>#N/A</v>
      </c>
      <c r="W2267" s="271"/>
      <c r="X2267" s="271">
        <f t="shared" ca="1" si="319"/>
        <v>0</v>
      </c>
      <c r="Y2267" s="271"/>
      <c r="Z2267" s="271"/>
      <c r="AB2267" s="273" t="str">
        <f t="shared" si="320"/>
        <v/>
      </c>
    </row>
    <row r="2268" spans="1:28" s="272" customFormat="1" ht="19.8">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322">IF(AND(C2268="Smelter not listed",OR(LEN(D2268)=0,LEN(E2268)=0)),1,0)</f>
        <v>0</v>
      </c>
      <c r="Y2268" s="271"/>
      <c r="Z2268" s="271"/>
      <c r="AB2268" s="273" t="str">
        <f t="shared" ref="AB2268:AB2298" si="323">B2268&amp;C2268</f>
        <v/>
      </c>
    </row>
    <row r="2269" spans="1:28" s="272" customFormat="1" ht="19.8">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19.8">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19.8">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19.8">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19.8">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19.8">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19.8">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19.8">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19.8">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19.8">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19.8">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19.8">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19.8">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19.8">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19.8">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19.8">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19.8">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19.8">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19.8">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19.8">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19.8">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19.8">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19.8">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19.8">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19.8">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19.8">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19.8">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1"/>
        <v/>
      </c>
      <c r="T2295" s="222" t="str">
        <f ca="1">IF(B2295="","",IF(ISERROR(MATCH($J2295,SorP!$B$1:$B$6230,0)),"",INDIRECT("'SorP'!$A$"&amp;MATCH($J2295,SorP!$B$1:$B$6230,0))))</f>
        <v/>
      </c>
      <c r="U2295" s="238"/>
      <c r="V2295" s="270" t="e">
        <f>IF(C2295="",NA(),MATCH($B2295&amp;$C2295,'Smelter Look-up'!$J:$J,0))</f>
        <v>#N/A</v>
      </c>
      <c r="W2295" s="271"/>
      <c r="X2295" s="271">
        <f t="shared" ca="1" si="322"/>
        <v>0</v>
      </c>
      <c r="Y2295" s="271"/>
      <c r="Z2295" s="271"/>
      <c r="AB2295" s="273" t="str">
        <f t="shared" si="323"/>
        <v/>
      </c>
    </row>
    <row r="2296" spans="1:28" s="272" customFormat="1" ht="19.8">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1"/>
        <v/>
      </c>
      <c r="T2296" s="222" t="str">
        <f ca="1">IF(B2296="","",IF(ISERROR(MATCH($J2296,SorP!$B$1:$B$6230,0)),"",INDIRECT("'SorP'!$A$"&amp;MATCH($J2296,SorP!$B$1:$B$6230,0))))</f>
        <v/>
      </c>
      <c r="U2296" s="238"/>
      <c r="V2296" s="270" t="e">
        <f>IF(C2296="",NA(),MATCH($B2296&amp;$C2296,'Smelter Look-up'!$J:$J,0))</f>
        <v>#N/A</v>
      </c>
      <c r="W2296" s="271"/>
      <c r="X2296" s="271">
        <f t="shared" ca="1" si="322"/>
        <v>0</v>
      </c>
      <c r="Y2296" s="271"/>
      <c r="Z2296" s="271"/>
      <c r="AB2296" s="273" t="str">
        <f t="shared" si="323"/>
        <v/>
      </c>
    </row>
    <row r="2297" spans="1:28" s="272" customFormat="1" ht="19.8">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1"/>
        <v/>
      </c>
      <c r="T2297" s="222" t="str">
        <f ca="1">IF(B2297="","",IF(ISERROR(MATCH($J2297,SorP!$B$1:$B$6230,0)),"",INDIRECT("'SorP'!$A$"&amp;MATCH($J2297,SorP!$B$1:$B$6230,0))))</f>
        <v/>
      </c>
      <c r="U2297" s="238"/>
      <c r="V2297" s="270" t="e">
        <f>IF(C2297="",NA(),MATCH($B2297&amp;$C2297,'Smelter Look-up'!$J:$J,0))</f>
        <v>#N/A</v>
      </c>
      <c r="W2297" s="271"/>
      <c r="X2297" s="271">
        <f t="shared" ca="1" si="322"/>
        <v>0</v>
      </c>
      <c r="Y2297" s="271"/>
      <c r="Z2297" s="271"/>
      <c r="AB2297" s="273" t="str">
        <f t="shared" si="323"/>
        <v/>
      </c>
    </row>
    <row r="2298" spans="1:28" s="272" customFormat="1" ht="19.8">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1"/>
        <v/>
      </c>
      <c r="T2298" s="222" t="str">
        <f ca="1">IF(B2298="","",IF(ISERROR(MATCH($J2298,SorP!$B$1:$B$6230,0)),"",INDIRECT("'SorP'!$A$"&amp;MATCH($J2298,SorP!$B$1:$B$6230,0))))</f>
        <v/>
      </c>
      <c r="U2298" s="238"/>
      <c r="V2298" s="270" t="e">
        <f>IF(C2298="",NA(),MATCH($B2298&amp;$C2298,'Smelter Look-up'!$J:$J,0))</f>
        <v>#N/A</v>
      </c>
      <c r="W2298" s="271"/>
      <c r="X2298" s="271">
        <f t="shared" ca="1" si="322"/>
        <v>0</v>
      </c>
      <c r="Y2298" s="271"/>
      <c r="Z2298" s="271"/>
      <c r="AB2298" s="273" t="str">
        <f t="shared" si="323"/>
        <v/>
      </c>
    </row>
    <row r="2299" spans="1:28" s="272" customFormat="1" ht="19.8">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t="shared" ref="X2299" ca="1" si="325">IF(AND(C2299="Smelter not listed",OR(LEN(D2299)=0,LEN(E2299)=0)),1,0)</f>
        <v>0</v>
      </c>
      <c r="Y2299" s="271"/>
      <c r="Z2299" s="271"/>
      <c r="AB2299" s="273" t="str">
        <f t="shared" ref="AB2299" si="326">B2299&amp;C2299</f>
        <v/>
      </c>
    </row>
    <row r="2300" spans="1:28" s="272" customFormat="1" ht="19.8">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328">IF(AND(C2300="Smelter not listed",OR(LEN(D2300)=0,LEN(E2300)=0)),1,0)</f>
        <v>0</v>
      </c>
      <c r="Y2300" s="271"/>
      <c r="Z2300" s="271"/>
      <c r="AB2300" s="273" t="str">
        <f t="shared" ref="AB2300:AB2331" si="329">B2300&amp;C2300</f>
        <v/>
      </c>
    </row>
    <row r="2301" spans="1:28" s="272" customFormat="1" ht="19.8">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19.8">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19.8">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19.8">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19.8">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19.8">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19.8">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19.8">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19.8">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19.8">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19.8">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19.8">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19.8">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19.8">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19.8">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19.8">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19.8">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19.8">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19.8">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19.8">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19.8">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19.8">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19.8">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19.8">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19.8">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19.8">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19.8">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19.8">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19.8">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7"/>
        <v/>
      </c>
      <c r="T2329" s="222" t="str">
        <f ca="1">IF(B2329="","",IF(ISERROR(MATCH($J2329,SorP!$B$1:$B$6230,0)),"",INDIRECT("'SorP'!$A$"&amp;MATCH($J2329,SorP!$B$1:$B$6230,0))))</f>
        <v/>
      </c>
      <c r="U2329" s="238"/>
      <c r="V2329" s="270" t="e">
        <f>IF(C2329="",NA(),MATCH($B2329&amp;$C2329,'Smelter Look-up'!$J:$J,0))</f>
        <v>#N/A</v>
      </c>
      <c r="W2329" s="271"/>
      <c r="X2329" s="271">
        <f t="shared" ca="1" si="328"/>
        <v>0</v>
      </c>
      <c r="Y2329" s="271"/>
      <c r="Z2329" s="271"/>
      <c r="AB2329" s="273" t="str">
        <f t="shared" si="329"/>
        <v/>
      </c>
    </row>
    <row r="2330" spans="1:28" s="272" customFormat="1" ht="19.8">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27"/>
        <v/>
      </c>
      <c r="T2330" s="222" t="str">
        <f ca="1">IF(B2330="","",IF(ISERROR(MATCH($J2330,SorP!$B$1:$B$6230,0)),"",INDIRECT("'SorP'!$A$"&amp;MATCH($J2330,SorP!$B$1:$B$6230,0))))</f>
        <v/>
      </c>
      <c r="U2330" s="238"/>
      <c r="V2330" s="270" t="e">
        <f>IF(C2330="",NA(),MATCH($B2330&amp;$C2330,'Smelter Look-up'!$J:$J,0))</f>
        <v>#N/A</v>
      </c>
      <c r="W2330" s="271"/>
      <c r="X2330" s="271">
        <f t="shared" ca="1" si="328"/>
        <v>0</v>
      </c>
      <c r="Y2330" s="271"/>
      <c r="Z2330" s="271"/>
      <c r="AB2330" s="273" t="str">
        <f t="shared" si="329"/>
        <v/>
      </c>
    </row>
    <row r="2331" spans="1:28" s="272" customFormat="1" ht="19.8">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27"/>
        <v/>
      </c>
      <c r="T2331" s="222" t="str">
        <f ca="1">IF(B2331="","",IF(ISERROR(MATCH($J2331,SorP!$B$1:$B$6230,0)),"",INDIRECT("'SorP'!$A$"&amp;MATCH($J2331,SorP!$B$1:$B$6230,0))))</f>
        <v/>
      </c>
      <c r="U2331" s="238"/>
      <c r="V2331" s="270" t="e">
        <f>IF(C2331="",NA(),MATCH($B2331&amp;$C2331,'Smelter Look-up'!$J:$J,0))</f>
        <v>#N/A</v>
      </c>
      <c r="W2331" s="271"/>
      <c r="X2331" s="271">
        <f t="shared" ca="1" si="328"/>
        <v>0</v>
      </c>
      <c r="Y2331" s="271"/>
      <c r="Z2331" s="271"/>
      <c r="AB2331" s="273" t="str">
        <f t="shared" si="329"/>
        <v/>
      </c>
    </row>
    <row r="2332" spans="1:28" s="272" customFormat="1" ht="19.8">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331">IF(AND(C2332="Smelter not listed",OR(LEN(D2332)=0,LEN(E2332)=0)),1,0)</f>
        <v>0</v>
      </c>
      <c r="Y2332" s="271"/>
      <c r="Z2332" s="271"/>
      <c r="AB2332" s="273" t="str">
        <f t="shared" ref="AB2332:AB2362" si="332">B2332&amp;C2332</f>
        <v/>
      </c>
    </row>
    <row r="2333" spans="1:28" s="272" customFormat="1" ht="19.8">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19.8">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19.8">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19.8">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19.8">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19.8">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19.8">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19.8">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19.8">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19.8">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19.8">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19.8">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19.8">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19.8">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19.8">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19.8">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19.8">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19.8">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19.8">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19.8">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19.8">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19.8">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19.8">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19.8">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19.8">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19.8">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19.8">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0"/>
        <v/>
      </c>
      <c r="T2359" s="222" t="str">
        <f ca="1">IF(B2359="","",IF(ISERROR(MATCH($J2359,SorP!$B$1:$B$6230,0)),"",INDIRECT("'SorP'!$A$"&amp;MATCH($J2359,SorP!$B$1:$B$6230,0))))</f>
        <v/>
      </c>
      <c r="U2359" s="238"/>
      <c r="V2359" s="270" t="e">
        <f>IF(C2359="",NA(),MATCH($B2359&amp;$C2359,'Smelter Look-up'!$J:$J,0))</f>
        <v>#N/A</v>
      </c>
      <c r="W2359" s="271"/>
      <c r="X2359" s="271">
        <f t="shared" ca="1" si="331"/>
        <v>0</v>
      </c>
      <c r="Y2359" s="271"/>
      <c r="Z2359" s="271"/>
      <c r="AB2359" s="273" t="str">
        <f t="shared" si="332"/>
        <v/>
      </c>
    </row>
    <row r="2360" spans="1:28" s="272" customFormat="1" ht="19.8">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0"/>
        <v/>
      </c>
      <c r="T2360" s="222" t="str">
        <f ca="1">IF(B2360="","",IF(ISERROR(MATCH($J2360,SorP!$B$1:$B$6230,0)),"",INDIRECT("'SorP'!$A$"&amp;MATCH($J2360,SorP!$B$1:$B$6230,0))))</f>
        <v/>
      </c>
      <c r="U2360" s="238"/>
      <c r="V2360" s="270" t="e">
        <f>IF(C2360="",NA(),MATCH($B2360&amp;$C2360,'Smelter Look-up'!$J:$J,0))</f>
        <v>#N/A</v>
      </c>
      <c r="W2360" s="271"/>
      <c r="X2360" s="271">
        <f t="shared" ca="1" si="331"/>
        <v>0</v>
      </c>
      <c r="Y2360" s="271"/>
      <c r="Z2360" s="271"/>
      <c r="AB2360" s="273" t="str">
        <f t="shared" si="332"/>
        <v/>
      </c>
    </row>
    <row r="2361" spans="1:28" s="272" customFormat="1" ht="19.8">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0"/>
        <v/>
      </c>
      <c r="T2361" s="222" t="str">
        <f ca="1">IF(B2361="","",IF(ISERROR(MATCH($J2361,SorP!$B$1:$B$6230,0)),"",INDIRECT("'SorP'!$A$"&amp;MATCH($J2361,SorP!$B$1:$B$6230,0))))</f>
        <v/>
      </c>
      <c r="U2361" s="238"/>
      <c r="V2361" s="270" t="e">
        <f>IF(C2361="",NA(),MATCH($B2361&amp;$C2361,'Smelter Look-up'!$J:$J,0))</f>
        <v>#N/A</v>
      </c>
      <c r="W2361" s="271"/>
      <c r="X2361" s="271">
        <f t="shared" ca="1" si="331"/>
        <v>0</v>
      </c>
      <c r="Y2361" s="271"/>
      <c r="Z2361" s="271"/>
      <c r="AB2361" s="273" t="str">
        <f t="shared" si="332"/>
        <v/>
      </c>
    </row>
    <row r="2362" spans="1:28" s="272" customFormat="1" ht="19.8">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0"/>
        <v/>
      </c>
      <c r="T2362" s="222" t="str">
        <f ca="1">IF(B2362="","",IF(ISERROR(MATCH($J2362,SorP!$B$1:$B$6230,0)),"",INDIRECT("'SorP'!$A$"&amp;MATCH($J2362,SorP!$B$1:$B$6230,0))))</f>
        <v/>
      </c>
      <c r="U2362" s="238"/>
      <c r="V2362" s="270" t="e">
        <f>IF(C2362="",NA(),MATCH($B2362&amp;$C2362,'Smelter Look-up'!$J:$J,0))</f>
        <v>#N/A</v>
      </c>
      <c r="W2362" s="271"/>
      <c r="X2362" s="271">
        <f t="shared" ca="1" si="331"/>
        <v>0</v>
      </c>
      <c r="Y2362" s="271"/>
      <c r="Z2362" s="271"/>
      <c r="AB2362" s="273" t="str">
        <f t="shared" si="332"/>
        <v/>
      </c>
    </row>
    <row r="2363" spans="1:28" s="272" customFormat="1" ht="19.8">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t="shared" ref="X2363" ca="1" si="334">IF(AND(C2363="Smelter not listed",OR(LEN(D2363)=0,LEN(E2363)=0)),1,0)</f>
        <v>0</v>
      </c>
      <c r="Y2363" s="271"/>
      <c r="Z2363" s="271"/>
      <c r="AB2363" s="273" t="str">
        <f t="shared" ref="AB2363" si="335">B2363&amp;C2363</f>
        <v/>
      </c>
    </row>
    <row r="2364" spans="1:28" s="272" customFormat="1" ht="19.8">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337">IF(AND(C2364="Smelter not listed",OR(LEN(D2364)=0,LEN(E2364)=0)),1,0)</f>
        <v>0</v>
      </c>
      <c r="Y2364" s="271"/>
      <c r="Z2364" s="271"/>
      <c r="AB2364" s="273" t="str">
        <f t="shared" ref="AB2364:AB2395" si="338">B2364&amp;C2364</f>
        <v/>
      </c>
    </row>
    <row r="2365" spans="1:28" s="272" customFormat="1" ht="19.8">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19.8">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19.8">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19.8">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19.8">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19.8">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19.8">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19.8">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19.8">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19.8">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19.8">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19.8">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19.8">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19.8">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19.8">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19.8">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19.8">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19.8">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19.8">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19.8">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19.8">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19.8">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19.8">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19.8">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19.8">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19.8">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19.8">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19.8">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19.8">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6"/>
        <v/>
      </c>
      <c r="T2393" s="222" t="str">
        <f ca="1">IF(B2393="","",IF(ISERROR(MATCH($J2393,SorP!$B$1:$B$6230,0)),"",INDIRECT("'SorP'!$A$"&amp;MATCH($J2393,SorP!$B$1:$B$6230,0))))</f>
        <v/>
      </c>
      <c r="U2393" s="238"/>
      <c r="V2393" s="270" t="e">
        <f>IF(C2393="",NA(),MATCH($B2393&amp;$C2393,'Smelter Look-up'!$J:$J,0))</f>
        <v>#N/A</v>
      </c>
      <c r="W2393" s="271"/>
      <c r="X2393" s="271">
        <f t="shared" ca="1" si="337"/>
        <v>0</v>
      </c>
      <c r="Y2393" s="271"/>
      <c r="Z2393" s="271"/>
      <c r="AB2393" s="273" t="str">
        <f t="shared" si="338"/>
        <v/>
      </c>
    </row>
    <row r="2394" spans="1:28" s="272" customFormat="1" ht="19.8">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6"/>
        <v/>
      </c>
      <c r="T2394" s="222" t="str">
        <f ca="1">IF(B2394="","",IF(ISERROR(MATCH($J2394,SorP!$B$1:$B$6230,0)),"",INDIRECT("'SorP'!$A$"&amp;MATCH($J2394,SorP!$B$1:$B$6230,0))))</f>
        <v/>
      </c>
      <c r="U2394" s="238"/>
      <c r="V2394" s="270" t="e">
        <f>IF(C2394="",NA(),MATCH($B2394&amp;$C2394,'Smelter Look-up'!$J:$J,0))</f>
        <v>#N/A</v>
      </c>
      <c r="W2394" s="271"/>
      <c r="X2394" s="271">
        <f t="shared" ca="1" si="337"/>
        <v>0</v>
      </c>
      <c r="Y2394" s="271"/>
      <c r="Z2394" s="271"/>
      <c r="AB2394" s="273" t="str">
        <f t="shared" si="338"/>
        <v/>
      </c>
    </row>
    <row r="2395" spans="1:28" s="272" customFormat="1" ht="19.8">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6"/>
        <v/>
      </c>
      <c r="T2395" s="222" t="str">
        <f ca="1">IF(B2395="","",IF(ISERROR(MATCH($J2395,SorP!$B$1:$B$6230,0)),"",INDIRECT("'SorP'!$A$"&amp;MATCH($J2395,SorP!$B$1:$B$6230,0))))</f>
        <v/>
      </c>
      <c r="U2395" s="238"/>
      <c r="V2395" s="270" t="e">
        <f>IF(C2395="",NA(),MATCH($B2395&amp;$C2395,'Smelter Look-up'!$J:$J,0))</f>
        <v>#N/A</v>
      </c>
      <c r="W2395" s="271"/>
      <c r="X2395" s="271">
        <f t="shared" ca="1" si="337"/>
        <v>0</v>
      </c>
      <c r="Y2395" s="271"/>
      <c r="Z2395" s="271"/>
      <c r="AB2395" s="273" t="str">
        <f t="shared" si="338"/>
        <v/>
      </c>
    </row>
    <row r="2396" spans="1:28" s="272" customFormat="1" ht="19.8">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340">IF(AND(C2396="Smelter not listed",OR(LEN(D2396)=0,LEN(E2396)=0)),1,0)</f>
        <v>0</v>
      </c>
      <c r="Y2396" s="271"/>
      <c r="Z2396" s="271"/>
      <c r="AB2396" s="273" t="str">
        <f t="shared" ref="AB2396:AB2426" si="341">B2396&amp;C2396</f>
        <v/>
      </c>
    </row>
    <row r="2397" spans="1:28" s="272" customFormat="1" ht="19.8">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19.8">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19.8">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19.8">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19.8">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19.8">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19.8">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19.8">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19.8">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19.8">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19.8">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19.8">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19.8">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19.8">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19.8">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19.8">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19.8">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19.8">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19.8">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19.8">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19.8">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19.8">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19.8">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19.8">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19.8">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19.8">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19.8">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39"/>
        <v/>
      </c>
      <c r="T2423" s="222" t="str">
        <f ca="1">IF(B2423="","",IF(ISERROR(MATCH($J2423,SorP!$B$1:$B$6230,0)),"",INDIRECT("'SorP'!$A$"&amp;MATCH($J2423,SorP!$B$1:$B$6230,0))))</f>
        <v/>
      </c>
      <c r="U2423" s="238"/>
      <c r="V2423" s="270" t="e">
        <f>IF(C2423="",NA(),MATCH($B2423&amp;$C2423,'Smelter Look-up'!$J:$J,0))</f>
        <v>#N/A</v>
      </c>
      <c r="W2423" s="271"/>
      <c r="X2423" s="271">
        <f t="shared" ca="1" si="340"/>
        <v>0</v>
      </c>
      <c r="Y2423" s="271"/>
      <c r="Z2423" s="271"/>
      <c r="AB2423" s="273" t="str">
        <f t="shared" si="341"/>
        <v/>
      </c>
    </row>
    <row r="2424" spans="1:28" s="272" customFormat="1" ht="19.8">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39"/>
        <v/>
      </c>
      <c r="T2424" s="222" t="str">
        <f ca="1">IF(B2424="","",IF(ISERROR(MATCH($J2424,SorP!$B$1:$B$6230,0)),"",INDIRECT("'SorP'!$A$"&amp;MATCH($J2424,SorP!$B$1:$B$6230,0))))</f>
        <v/>
      </c>
      <c r="U2424" s="238"/>
      <c r="V2424" s="270" t="e">
        <f>IF(C2424="",NA(),MATCH($B2424&amp;$C2424,'Smelter Look-up'!$J:$J,0))</f>
        <v>#N/A</v>
      </c>
      <c r="W2424" s="271"/>
      <c r="X2424" s="271">
        <f t="shared" ca="1" si="340"/>
        <v>0</v>
      </c>
      <c r="Y2424" s="271"/>
      <c r="Z2424" s="271"/>
      <c r="AB2424" s="273" t="str">
        <f t="shared" si="341"/>
        <v/>
      </c>
    </row>
    <row r="2425" spans="1:28" s="272" customFormat="1" ht="19.8">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39"/>
        <v/>
      </c>
      <c r="T2425" s="222" t="str">
        <f ca="1">IF(B2425="","",IF(ISERROR(MATCH($J2425,SorP!$B$1:$B$6230,0)),"",INDIRECT("'SorP'!$A$"&amp;MATCH($J2425,SorP!$B$1:$B$6230,0))))</f>
        <v/>
      </c>
      <c r="U2425" s="238"/>
      <c r="V2425" s="270" t="e">
        <f>IF(C2425="",NA(),MATCH($B2425&amp;$C2425,'Smelter Look-up'!$J:$J,0))</f>
        <v>#N/A</v>
      </c>
      <c r="W2425" s="271"/>
      <c r="X2425" s="271">
        <f t="shared" ca="1" si="340"/>
        <v>0</v>
      </c>
      <c r="Y2425" s="271"/>
      <c r="Z2425" s="271"/>
      <c r="AB2425" s="273" t="str">
        <f t="shared" si="341"/>
        <v/>
      </c>
    </row>
    <row r="2426" spans="1:28" s="272" customFormat="1" ht="19.8">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39"/>
        <v/>
      </c>
      <c r="T2426" s="222" t="str">
        <f ca="1">IF(B2426="","",IF(ISERROR(MATCH($J2426,SorP!$B$1:$B$6230,0)),"",INDIRECT("'SorP'!$A$"&amp;MATCH($J2426,SorP!$B$1:$B$6230,0))))</f>
        <v/>
      </c>
      <c r="U2426" s="238"/>
      <c r="V2426" s="270" t="e">
        <f>IF(C2426="",NA(),MATCH($B2426&amp;$C2426,'Smelter Look-up'!$J:$J,0))</f>
        <v>#N/A</v>
      </c>
      <c r="W2426" s="271"/>
      <c r="X2426" s="271">
        <f t="shared" ca="1" si="340"/>
        <v>0</v>
      </c>
      <c r="Y2426" s="271"/>
      <c r="Z2426" s="271"/>
      <c r="AB2426" s="273" t="str">
        <f t="shared" si="341"/>
        <v/>
      </c>
    </row>
    <row r="2427" spans="1:28" s="272" customFormat="1" ht="19.8">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t="shared" ref="X2427" ca="1" si="343">IF(AND(C2427="Smelter not listed",OR(LEN(D2427)=0,LEN(E2427)=0)),1,0)</f>
        <v>0</v>
      </c>
      <c r="Y2427" s="271"/>
      <c r="Z2427" s="271"/>
      <c r="AB2427" s="273" t="str">
        <f t="shared" ref="AB2427" si="344">B2427&amp;C2427</f>
        <v/>
      </c>
    </row>
    <row r="2428" spans="1:28" s="272" customFormat="1" ht="19.8">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346">IF(AND(C2428="Smelter not listed",OR(LEN(D2428)=0,LEN(E2428)=0)),1,0)</f>
        <v>0</v>
      </c>
      <c r="Y2428" s="271"/>
      <c r="Z2428" s="271"/>
      <c r="AB2428" s="273" t="str">
        <f t="shared" ref="AB2428:AB2459" si="347">B2428&amp;C2428</f>
        <v/>
      </c>
    </row>
    <row r="2429" spans="1:28" s="272" customFormat="1" ht="19.8">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19.8">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19.8">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19.8">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19.8">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19.8">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19.8">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19.8">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19.8">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19.8">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19.8">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19.8">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19.8">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19.8">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19.8">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19.8">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19.8">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19.8">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19.8">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19.8">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19.8">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19.8">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19.8">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19.8">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19.8">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19.8">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19.8">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19.8">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19.8">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5"/>
        <v/>
      </c>
      <c r="T2457" s="222" t="str">
        <f ca="1">IF(B2457="","",IF(ISERROR(MATCH($J2457,SorP!$B$1:$B$6230,0)),"",INDIRECT("'SorP'!$A$"&amp;MATCH($J2457,SorP!$B$1:$B$6230,0))))</f>
        <v/>
      </c>
      <c r="U2457" s="238"/>
      <c r="V2457" s="270" t="e">
        <f>IF(C2457="",NA(),MATCH($B2457&amp;$C2457,'Smelter Look-up'!$J:$J,0))</f>
        <v>#N/A</v>
      </c>
      <c r="W2457" s="271"/>
      <c r="X2457" s="271">
        <f t="shared" ca="1" si="346"/>
        <v>0</v>
      </c>
      <c r="Y2457" s="271"/>
      <c r="Z2457" s="271"/>
      <c r="AB2457" s="273" t="str">
        <f t="shared" si="347"/>
        <v/>
      </c>
    </row>
    <row r="2458" spans="1:28" s="272" customFormat="1" ht="19.8">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5"/>
        <v/>
      </c>
      <c r="T2458" s="222" t="str">
        <f ca="1">IF(B2458="","",IF(ISERROR(MATCH($J2458,SorP!$B$1:$B$6230,0)),"",INDIRECT("'SorP'!$A$"&amp;MATCH($J2458,SorP!$B$1:$B$6230,0))))</f>
        <v/>
      </c>
      <c r="U2458" s="238"/>
      <c r="V2458" s="270" t="e">
        <f>IF(C2458="",NA(),MATCH($B2458&amp;$C2458,'Smelter Look-up'!$J:$J,0))</f>
        <v>#N/A</v>
      </c>
      <c r="W2458" s="271"/>
      <c r="X2458" s="271">
        <f t="shared" ca="1" si="346"/>
        <v>0</v>
      </c>
      <c r="Y2458" s="271"/>
      <c r="Z2458" s="271"/>
      <c r="AB2458" s="273" t="str">
        <f t="shared" si="347"/>
        <v/>
      </c>
    </row>
    <row r="2459" spans="1:28" s="272" customFormat="1" ht="19.8">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5"/>
        <v/>
      </c>
      <c r="T2459" s="222" t="str">
        <f ca="1">IF(B2459="","",IF(ISERROR(MATCH($J2459,SorP!$B$1:$B$6230,0)),"",INDIRECT("'SorP'!$A$"&amp;MATCH($J2459,SorP!$B$1:$B$6230,0))))</f>
        <v/>
      </c>
      <c r="U2459" s="238"/>
      <c r="V2459" s="270" t="e">
        <f>IF(C2459="",NA(),MATCH($B2459&amp;$C2459,'Smelter Look-up'!$J:$J,0))</f>
        <v>#N/A</v>
      </c>
      <c r="W2459" s="271"/>
      <c r="X2459" s="271">
        <f t="shared" ca="1" si="346"/>
        <v>0</v>
      </c>
      <c r="Y2459" s="271"/>
      <c r="Z2459" s="271"/>
      <c r="AB2459" s="273" t="str">
        <f t="shared" si="347"/>
        <v/>
      </c>
    </row>
    <row r="2460" spans="1:28" s="272" customFormat="1" ht="19.8">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349">IF(AND(C2460="Smelter not listed",OR(LEN(D2460)=0,LEN(E2460)=0)),1,0)</f>
        <v>0</v>
      </c>
      <c r="Y2460" s="271"/>
      <c r="Z2460" s="271"/>
      <c r="AB2460" s="273" t="str">
        <f t="shared" ref="AB2460:AB2490" si="350">B2460&amp;C2460</f>
        <v/>
      </c>
    </row>
    <row r="2461" spans="1:28" s="272" customFormat="1" ht="19.8">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19.8">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19.8">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19.8">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19.8">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19.8">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19.8">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19.8">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19.8">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19.8">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19.8">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19.8">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19.8">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19.8">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19.8">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19.8">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19.8">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19.8">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19.8">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19.8">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19.8">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19.8">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19.8">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19.8">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19.8">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19.8">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19.8">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48"/>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si="350"/>
        <v/>
      </c>
    </row>
    <row r="2488" spans="1:28" s="272" customFormat="1" ht="19.8">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48"/>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 t="shared" si="350"/>
        <v/>
      </c>
    </row>
    <row r="2489" spans="1:28" s="272" customFormat="1" ht="19.8">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48"/>
        <v/>
      </c>
      <c r="T2489" s="222" t="str">
        <f ca="1">IF(B2489="","",IF(ISERROR(MATCH($J2489,SorP!$B$1:$B$6230,0)),"",INDIRECT("'SorP'!$A$"&amp;MATCH($J2489,SorP!$B$1:$B$6230,0))))</f>
        <v/>
      </c>
      <c r="U2489" s="238"/>
      <c r="V2489" s="270" t="e">
        <f>IF(C2489="",NA(),MATCH($B2489&amp;$C2489,'Smelter Look-up'!$J:$J,0))</f>
        <v>#N/A</v>
      </c>
      <c r="W2489" s="271"/>
      <c r="X2489" s="271">
        <f t="shared" ca="1" si="349"/>
        <v>0</v>
      </c>
      <c r="Y2489" s="271"/>
      <c r="Z2489" s="271"/>
      <c r="AB2489" s="273" t="str">
        <f t="shared" si="350"/>
        <v/>
      </c>
    </row>
    <row r="2490" spans="1:28" s="272" customFormat="1" ht="19.8">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48"/>
        <v/>
      </c>
      <c r="T2490" s="222" t="str">
        <f ca="1">IF(B2490="","",IF(ISERROR(MATCH($J2490,SorP!$B$1:$B$6230,0)),"",INDIRECT("'SorP'!$A$"&amp;MATCH($J2490,SorP!$B$1:$B$6230,0))))</f>
        <v/>
      </c>
      <c r="U2490" s="238"/>
      <c r="V2490" s="270" t="e">
        <f>IF(C2490="",NA(),MATCH($B2490&amp;$C2490,'Smelter Look-up'!$J:$J,0))</f>
        <v>#N/A</v>
      </c>
      <c r="W2490" s="271"/>
      <c r="X2490" s="271">
        <f t="shared" ca="1" si="349"/>
        <v>0</v>
      </c>
      <c r="Y2490" s="271"/>
      <c r="Z2490" s="271"/>
      <c r="AB2490" s="273" t="str">
        <f t="shared" si="350"/>
        <v/>
      </c>
    </row>
    <row r="2491" spans="1:28" s="272" customFormat="1" ht="19.8">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349"/>
        <v>0</v>
      </c>
      <c r="Y2491" s="271"/>
      <c r="Z2491" s="271"/>
      <c r="AB2491" s="273" t="str">
        <f t="shared" ref="AB2491" si="352">B2491&amp;C2491</f>
        <v/>
      </c>
    </row>
    <row r="2492" spans="1:28" s="272" customFormat="1" ht="19.8">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349"/>
        <v>0</v>
      </c>
      <c r="Y2492" s="271"/>
      <c r="Z2492" s="271"/>
      <c r="AB2492" s="273" t="str">
        <f>B2492&amp;C2492</f>
        <v/>
      </c>
    </row>
    <row r="2493" spans="1:28" s="272" customFormat="1" ht="19.8">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19.8">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19.8">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19.8">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19.8">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19.8">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19.8">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19.8">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19.8">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19.8">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4"/>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19.8">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354"/>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19.8">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354"/>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ht="12.6" thickBot="1">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354"/>
        <v/>
      </c>
      <c r="T2505" s="222" t="str">
        <f ca="1">IF(B2505="","",IF(ISERROR(MATCH($J2505,SorP!$B$1:$B$6230,0)),"",INDIRECT("'SorP'!$A$"&amp;MATCH($J2505,SorP!$B$1:$B$6230,0))))</f>
        <v/>
      </c>
      <c r="AB2505" s="272" t="str">
        <f>B2505&amp;C2505</f>
        <v/>
      </c>
    </row>
    <row r="2506" spans="1:28" ht="12.6" thickTop="1">
      <c r="U2506" s="277"/>
      <c r="V2506" s="277"/>
      <c r="W2506" s="277"/>
      <c r="X2506" s="277"/>
      <c r="Y2506" s="277"/>
      <c r="Z2506" s="277"/>
    </row>
    <row r="2507" spans="1:28">
      <c r="U2507" s="277"/>
      <c r="V2507" s="277"/>
      <c r="W2507" s="277"/>
      <c r="X2507" s="277"/>
      <c r="Y2507" s="277"/>
      <c r="Z2507" s="277"/>
    </row>
    <row r="2508" spans="1:28" ht="12.6" thickBot="1">
      <c r="U2508" s="277"/>
      <c r="V2508" s="277"/>
      <c r="W2508" s="277"/>
      <c r="X2508" s="277"/>
      <c r="Y2508" s="277"/>
      <c r="Z2508" s="277"/>
    </row>
  </sheetData>
  <sheetProtection algorithmName="SHA-512" hashValue="+r1CTYSlHrA5vV0quPApz4siblL4kNjlw364k8UbDFFp4K6xZePIO7D6iuJQBgzB8Jj55JwZVlg9LWkJJgPK3Q==" saltValue="rEh3n15PjLJFbx5dprOteg=="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57" priority="38" stopIfTrue="1">
      <formula>IF(B586="",TRUE)</formula>
    </cfRule>
    <cfRule type="expression" dxfId="56" priority="49" stopIfTrue="1">
      <formula>IF(AND(COUNTIF(MetalSmelter,B586&amp;C586)=0,LEN(C586)&gt;0),TRUE,FALSE)</formula>
    </cfRule>
  </conditionalFormatting>
  <conditionalFormatting sqref="D586:D2504">
    <cfRule type="expression" dxfId="55" priority="32" stopIfTrue="1">
      <formula>IF(AND(LEN($C586)&gt;0,($C586&lt;&gt;"Smelter Not Listed")),1,0)</formula>
    </cfRule>
    <cfRule type="expression" dxfId="54" priority="57" stopIfTrue="1">
      <formula>IF(AND(D586="",$C586=$X$4),TRUE)</formula>
    </cfRule>
    <cfRule type="expression" dxfId="53" priority="58" stopIfTrue="1">
      <formula>IF(FIND("!",D586),TRUE)</formula>
    </cfRule>
  </conditionalFormatting>
  <conditionalFormatting sqref="G586:G2504">
    <cfRule type="expression" dxfId="52" priority="59" stopIfTrue="1">
      <formula>IF(FIND("Enter smelter details",G586),TRUE)</formula>
    </cfRule>
  </conditionalFormatting>
  <conditionalFormatting sqref="R586:R2505 E586:E2504">
    <cfRule type="expression" dxfId="51" priority="45" stopIfTrue="1">
      <formula>IF(AND(E586="",$C586=$X$4),TRUE)</formula>
    </cfRule>
    <cfRule type="expression" dxfId="50" priority="46" stopIfTrue="1">
      <formula>IF(FIND("!",E586),TRUE)</formula>
    </cfRule>
  </conditionalFormatting>
  <conditionalFormatting sqref="F586:F2504">
    <cfRule type="expression" dxfId="49" priority="36" stopIfTrue="1">
      <formula>IF(AND(LEN($A586)&gt;0,$A586&lt;&gt;$F586),TRUE,FALSE)</formula>
    </cfRule>
  </conditionalFormatting>
  <conditionalFormatting sqref="C586:C2504">
    <cfRule type="expression" dxfId="48" priority="35" stopIfTrue="1">
      <formula>IF(AND(B586&lt;&gt;"",C586=""),TRUE)</formula>
    </cfRule>
  </conditionalFormatting>
  <conditionalFormatting sqref="B21:B585 B5:B19">
    <cfRule type="expression" dxfId="47" priority="14" stopIfTrue="1">
      <formula>IF(B5="",TRUE)</formula>
    </cfRule>
    <cfRule type="expression" dxfId="46" priority="17" stopIfTrue="1">
      <formula>IF(AND(COUNTIF(MetalSmelter,B5&amp;C5)=0,LEN(C5)&gt;0),TRUE,FALSE)</formula>
    </cfRule>
  </conditionalFormatting>
  <conditionalFormatting sqref="D5:D19 D21:D585">
    <cfRule type="expression" dxfId="45" priority="11" stopIfTrue="1">
      <formula>IF(AND(LEN($C5)&gt;0,($C5&lt;&gt;"Smelter Not Listed")),1,0)</formula>
    </cfRule>
    <cfRule type="expression" dxfId="44" priority="18" stopIfTrue="1">
      <formula>IF(AND(D5="",$C5=$X$4),TRUE)</formula>
    </cfRule>
    <cfRule type="expression" dxfId="43" priority="19" stopIfTrue="1">
      <formula>IF(FIND("!",D5),TRUE)</formula>
    </cfRule>
  </conditionalFormatting>
  <conditionalFormatting sqref="G5:G19 G21:G585">
    <cfRule type="expression" dxfId="42" priority="20" stopIfTrue="1">
      <formula>IF(FIND("Enter smelter details",G5),TRUE)</formula>
    </cfRule>
  </conditionalFormatting>
  <conditionalFormatting sqref="R5:R585 E5:E19 E21:E585">
    <cfRule type="expression" dxfId="41" priority="15" stopIfTrue="1">
      <formula>IF(AND(E5="",$C5=$X$4),TRUE)</formula>
    </cfRule>
    <cfRule type="expression" dxfId="40" priority="16" stopIfTrue="1">
      <formula>IF(FIND("!",E5),TRUE)</formula>
    </cfRule>
  </conditionalFormatting>
  <conditionalFormatting sqref="F5:F19 F21:F585">
    <cfRule type="expression" dxfId="39" priority="13" stopIfTrue="1">
      <formula>IF(AND(LEN($A5)&gt;0,$A5&lt;&gt;$F5),TRUE,FALSE)</formula>
    </cfRule>
  </conditionalFormatting>
  <conditionalFormatting sqref="C21:C585 C5:C19">
    <cfRule type="expression" dxfId="38" priority="12" stopIfTrue="1">
      <formula>IF(AND(B5&lt;&gt;"",C5=""),TRUE)</formula>
    </cfRule>
  </conditionalFormatting>
  <conditionalFormatting sqref="B20">
    <cfRule type="expression" dxfId="37" priority="4" stopIfTrue="1">
      <formula>IF(B20="",TRUE)</formula>
    </cfRule>
    <cfRule type="expression" dxfId="36" priority="7" stopIfTrue="1">
      <formula>IF(AND(COUNTIF(MetalSmelter,B20&amp;C20)=0,LEN(C20)&gt;0),TRUE,FALSE)</formula>
    </cfRule>
  </conditionalFormatting>
  <conditionalFormatting sqref="D20">
    <cfRule type="expression" dxfId="35" priority="1" stopIfTrue="1">
      <formula>IF(AND(LEN($C20)&gt;0,($C20&lt;&gt;"Smelter Not Listed")),1,0)</formula>
    </cfRule>
    <cfRule type="expression" dxfId="34" priority="8" stopIfTrue="1">
      <formula>IF(AND(D20="",$C20=$X$4),TRUE)</formula>
    </cfRule>
    <cfRule type="expression" dxfId="33" priority="9" stopIfTrue="1">
      <formula>IF(FIND("!",D20),TRUE)</formula>
    </cfRule>
  </conditionalFormatting>
  <conditionalFormatting sqref="G20">
    <cfRule type="expression" dxfId="32" priority="10" stopIfTrue="1">
      <formula>IF(FIND("Enter smelter details",G20),TRUE)</formula>
    </cfRule>
  </conditionalFormatting>
  <conditionalFormatting sqref="E20">
    <cfRule type="expression" dxfId="31" priority="5" stopIfTrue="1">
      <formula>IF(AND(E20="",$C20=$X$4),TRUE)</formula>
    </cfRule>
    <cfRule type="expression" dxfId="30" priority="6" stopIfTrue="1">
      <formula>IF(FIND("!",E20),TRUE)</formula>
    </cfRule>
  </conditionalFormatting>
  <conditionalFormatting sqref="F20">
    <cfRule type="expression" dxfId="29" priority="3" stopIfTrue="1">
      <formula>IF(AND(LEN($A20)&gt;0,$A20&lt;&gt;$F20),TRUE,FALSE)</formula>
    </cfRule>
  </conditionalFormatting>
  <conditionalFormatting sqref="C20">
    <cfRule type="expression" dxfId="28" priority="2" stopIfTrue="1">
      <formula>IF(AND(B20&lt;&gt;"",C20=""),TRUE)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5546875" defaultRowHeight="12.3"/>
  <cols>
    <col min="1" max="1" width="45.140625" style="22" customWidth="1"/>
    <col min="2" max="2" width="42.85546875" style="25" customWidth="1"/>
    <col min="3" max="3" width="51.6171875" style="22" customWidth="1"/>
    <col min="4" max="4" width="29.140625" style="25" customWidth="1"/>
    <col min="5" max="5" width="9" style="24" customWidth="1"/>
    <col min="6" max="6" width="13.6171875" style="22" hidden="1" customWidth="1"/>
    <col min="7" max="7" width="13.37890625" style="22" hidden="1" customWidth="1"/>
    <col min="8" max="8" width="9" style="22" hidden="1" customWidth="1"/>
    <col min="9" max="9" width="9" style="176" hidden="1" customWidth="1"/>
    <col min="10" max="10" width="48.85546875" style="22" hidden="1" customWidth="1"/>
    <col min="11" max="11" width="9" style="22" hidden="1" customWidth="1"/>
    <col min="12" max="15" width="8.85546875" style="22" hidden="1" customWidth="1"/>
    <col min="16" max="18" width="8.85546875" style="22" customWidth="1"/>
    <col min="19" max="16384" width="8.85546875" style="22"/>
  </cols>
  <sheetData>
    <row r="1" spans="1:10" ht="29.4">
      <c r="A1" s="450" t="str">
        <f ca="1">OFFSET(L!$C$1,MATCH("Checker"&amp;ADDRESS(ROW(),COLUMN(),4),L!$A:$A,0)-1,SL,,)</f>
        <v>To ensure all required fields have been populated before submitting to your customers review form for any line items highlighted in red</v>
      </c>
      <c r="B1" s="450"/>
      <c r="C1" s="450"/>
      <c r="D1" s="146" t="str">
        <f ca="1">OFFSET(L!$C$1,MATCH("Checker"&amp;ADDRESS(ROW(),COLUMN(),4),L!$A:$A,0)-1,SL,,)</f>
        <v>Required fields remaining to be completed</v>
      </c>
      <c r="E1" s="84" t="s">
        <v>806</v>
      </c>
    </row>
    <row r="2" spans="1:10" ht="14.7">
      <c r="A2" s="77" t="s">
        <v>898</v>
      </c>
      <c r="B2" s="78" t="str">
        <f>IF(F65=1,"Click here to return to Smelter List","")</f>
        <v>Click here to return to Smelter List</v>
      </c>
      <c r="C2" s="150" t="str">
        <f>IF(F65=1,"Click here to return to Product List","")</f>
        <v>Click here to return to Product List</v>
      </c>
      <c r="D2" s="181" t="e">
        <f>IF(H70=0,"0",H70)</f>
        <v>#N/A</v>
      </c>
    </row>
    <row r="3" spans="1:10" ht="14.7">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7.799999999999997">
      <c r="A4" s="103" t="str">
        <f ca="1">Declaration!B8</f>
        <v>Company Name (*):</v>
      </c>
      <c r="B4" s="102" t="str">
        <f>Declaration!D8</f>
        <v>Arnold Magnetic Technologies</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7.799999999999997">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7.799999999999997">
      <c r="A6" s="103" t="str">
        <f ca="1">Declaration!B10</f>
        <v>Description of Scope:</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37.799999999999997">
      <c r="A7" s="103" t="str">
        <f ca="1">Declaration!B15</f>
        <v>Contact Name (*):</v>
      </c>
      <c r="B7" s="102" t="str">
        <f>Declaration!D15</f>
        <v>Christopher Bacon</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7.799999999999997">
      <c r="A8" s="103" t="str">
        <f ca="1">Declaration!B16</f>
        <v>Email – Contact (*):</v>
      </c>
      <c r="B8" s="102" t="str">
        <f>Declaration!D16</f>
        <v>cbacon@arnoldmagentics.com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7.799999999999997">
      <c r="A9" s="103" t="str">
        <f ca="1">Declaration!B17</f>
        <v>Phone – Contact (*):</v>
      </c>
      <c r="B9" s="102" t="str">
        <f>Declaration!D17</f>
        <v>585-385-9010</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7.799999999999997">
      <c r="A10" s="103" t="str">
        <f ca="1">Declaration!B18</f>
        <v>Authorizer (*):</v>
      </c>
      <c r="B10" s="102" t="str">
        <f>Declaration!D18</f>
        <v>Tammy VanCamp</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7.799999999999997">
      <c r="A11" s="103" t="str">
        <f ca="1">Declaration!B20</f>
        <v>Email - Authorizer (*):</v>
      </c>
      <c r="B11" s="102" t="str">
        <f>Declaration!D20</f>
        <v>tvancamp@arnoldmagnetics.com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7.799999999999997">
      <c r="A12" s="103" t="str">
        <f ca="1">Declaration!B22</f>
        <v>Effective Date (*):</v>
      </c>
      <c r="B12" s="104">
        <f>Declaration!D22</f>
        <v>44341</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1.5">
      <c r="A13" s="102" t="str">
        <f ca="1">Declaration!B25</f>
        <v>1) Is any 3TG intentionally added or used in the product(s) or in the production process? (*)</v>
      </c>
      <c r="B13" s="105"/>
      <c r="C13" s="105"/>
      <c r="D13" s="109"/>
      <c r="E13" s="84" t="s">
        <v>810</v>
      </c>
      <c r="F13" s="106"/>
      <c r="G13" s="24"/>
      <c r="H13" s="83">
        <f t="shared" si="3"/>
        <v>0</v>
      </c>
    </row>
    <row r="14" spans="1:10" ht="25.5">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7.799999999999997">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7.799999999999997">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7.799999999999997">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49.2">
      <c r="A18" s="102" t="str">
        <f ca="1">Declaration!B31</f>
        <v>2) Does any 3TG remain in the product(s)? (*)</v>
      </c>
      <c r="B18" s="105"/>
      <c r="C18" s="105"/>
      <c r="D18" s="109"/>
      <c r="E18" s="84" t="s">
        <v>808</v>
      </c>
      <c r="F18" s="106"/>
      <c r="G18" s="24"/>
      <c r="H18" s="24"/>
      <c r="J18" s="178"/>
    </row>
    <row r="19" spans="1:10" ht="37.799999999999997">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7.799999999999997">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7.799999999999997">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7.799999999999997">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7.799999999999997">
      <c r="A24" s="103" t="str">
        <f ca="1">Declaration!B38</f>
        <v>Tantalum  (*)</v>
      </c>
      <c r="B24" s="102" t="str">
        <f>IF(AND($B$14="Yes",$B$19="Yes"),Declaration!D38,0)</f>
        <v>Unknown</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7.799999999999997">
      <c r="A25" s="103" t="str">
        <f ca="1">Declaration!B39</f>
        <v>Tin  (*)</v>
      </c>
      <c r="B25" s="102" t="str">
        <f>IF(AND($B$15="Yes",$B$20="Yes"),Declaration!D39,0)</f>
        <v>Unknown</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7.799999999999997">
      <c r="A26" s="103" t="str">
        <f ca="1">Declaration!B40</f>
        <v>Gold  (*)</v>
      </c>
      <c r="B26" s="102" t="str">
        <f>IF(AND($B$16="Yes",$B$21="Yes"),Declaration!D40,0)</f>
        <v>Unknown</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7.799999999999997">
      <c r="A27" s="103" t="str">
        <f ca="1">Declaration!B41</f>
        <v>Tungsten  (*)</v>
      </c>
      <c r="B27" s="102" t="str">
        <f>IF(AND($B$17="Yes",$B$22="Yes"),Declaration!D41,0)</f>
        <v>Unknown</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Unknown</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Unknown</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6.9">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7.799999999999997">
      <c r="A34" s="103" t="str">
        <f ca="1">Declaration!B50</f>
        <v>Tantalum  (*)</v>
      </c>
      <c r="B34" s="102" t="str">
        <f>IF(AND($B$14="Yes",$B$19="Yes"),Declaration!D50,0)</f>
        <v>No</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7.799999999999997">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7.799999999999997">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7.799999999999997">
      <c r="A37" s="103" t="str">
        <f ca="1">Declaration!B53</f>
        <v>Tungsten  (*)</v>
      </c>
      <c r="B37" s="102" t="str">
        <f>IF(AND($B$17="Yes",$B$22="Yes"),Declaration!D53,0)</f>
        <v>No</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6.9">
      <c r="A38" s="102" t="str">
        <f ca="1">Declaration!B55</f>
        <v>6) What percentage of relevant suppliers have provided a response to your supply chain survey?  (*)</v>
      </c>
      <c r="B38" s="105"/>
      <c r="C38" s="105"/>
      <c r="D38" s="109"/>
      <c r="E38" s="84" t="s">
        <v>807</v>
      </c>
      <c r="F38" s="106"/>
      <c r="G38" s="24"/>
      <c r="H38" s="24"/>
    </row>
    <row r="39" spans="1:10" ht="25.5">
      <c r="A39" s="103" t="str">
        <f ca="1">Declaration!B56</f>
        <v>Tantalum  (*)</v>
      </c>
      <c r="B39" s="341" t="str">
        <f>IF(AND($B$14="Yes",$B$19="Yes"),Declaration!D56,0)</f>
        <v>Greater than 75%</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5.5">
      <c r="A40" s="103" t="str">
        <f ca="1">Declaration!B57</f>
        <v>Tin  (*)</v>
      </c>
      <c r="B40" s="341" t="str">
        <f>IF(AND($B$15="Yes",$B$20="Yes"),Declaration!D57,0)</f>
        <v>Greater than 75%</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5.5">
      <c r="A41" s="103" t="str">
        <f ca="1">Declaration!B58</f>
        <v>Gold  (*)</v>
      </c>
      <c r="B41" s="341" t="str">
        <f>IF(AND($B$16="Yes",$B$21="Yes"),Declaration!D58,0)</f>
        <v>Greater than 75%</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5.5">
      <c r="A42" s="103" t="str">
        <f ca="1">Declaration!B59</f>
        <v>Tungsten  (*)</v>
      </c>
      <c r="B42" s="341" t="str">
        <f>IF(AND($B$17="Yes",$B$22="Yes"),Declaration!D59,0)</f>
        <v>Greater than 75%</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49.2">
      <c r="A43" s="102" t="str">
        <f ca="1">Declaration!B61</f>
        <v>7) Have you identified all of the smelters supplying the 3TG to your supply chain?  (*)</v>
      </c>
      <c r="B43" s="105"/>
      <c r="C43" s="105"/>
      <c r="D43" s="109"/>
      <c r="E43" s="84" t="s">
        <v>808</v>
      </c>
      <c r="F43" s="106"/>
      <c r="G43" s="24"/>
      <c r="H43" s="24"/>
    </row>
    <row r="44" spans="1:10" ht="50.1">
      <c r="A44" s="103" t="str">
        <f ca="1">Declaration!B62</f>
        <v>Tantalum  (*)</v>
      </c>
      <c r="B44" s="102" t="str">
        <f>IF(AND($B$14="Yes",$B$19="Yes"),Declaration!D62,0)</f>
        <v>Yes</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0.1">
      <c r="A45" s="103" t="str">
        <f ca="1">Declaration!B63</f>
        <v>Tin  (*)</v>
      </c>
      <c r="B45" s="102" t="str">
        <f>IF(AND($B$15="Yes",$B$20="Yes"),Declaration!D63,0)</f>
        <v>No</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0.1">
      <c r="A46" s="103" t="str">
        <f ca="1">Declaration!B64</f>
        <v>Gold  (*)</v>
      </c>
      <c r="B46" s="102" t="str">
        <f>IF(AND($B$16="Yes",$B$21="Yes"),Declaration!D64,0)</f>
        <v>No</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0.1">
      <c r="A47" s="103" t="str">
        <f ca="1">Declaration!B65</f>
        <v>Tungsten  (*)</v>
      </c>
      <c r="B47" s="102" t="str">
        <f>IF(AND($B$17="Yes",$B$22="Yes"),Declaration!D65,0)</f>
        <v>Yes</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1.5">
      <c r="A48" s="102" t="str">
        <f ca="1">Declaration!B67</f>
        <v>8) Has all applicable smelter information received by your company been reported in this declaration?  (*)</v>
      </c>
      <c r="B48" s="105"/>
      <c r="C48" s="105"/>
      <c r="D48" s="109"/>
      <c r="E48" s="84" t="s">
        <v>809</v>
      </c>
      <c r="F48" s="106"/>
      <c r="G48" s="24"/>
      <c r="H48" s="24"/>
    </row>
    <row r="49" spans="1:10" ht="37.799999999999997">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7.799999999999997">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7.799999999999997">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7.799999999999997">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4.6">
      <c r="A53" s="102" t="str">
        <f ca="1">Declaration!B74</f>
        <v>Question</v>
      </c>
      <c r="B53" s="105"/>
      <c r="C53" s="105"/>
      <c r="D53" s="109"/>
      <c r="E53" s="84" t="s">
        <v>441</v>
      </c>
      <c r="F53" s="106"/>
      <c r="G53" s="106"/>
      <c r="H53" s="106"/>
    </row>
    <row r="54" spans="1:10" ht="37.799999999999997">
      <c r="A54" s="102" t="str">
        <f ca="1">Declaration!B75</f>
        <v>A. Have you established a responsible minerals sourcing policy? (*)</v>
      </c>
      <c r="B54" s="102" t="str">
        <f>Declaration!D75</f>
        <v>No</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 customHeight="1">
      <c r="A56" s="102" t="s">
        <v>5</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49.2">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7.799999999999997">
      <c r="A58" s="102" t="str">
        <f ca="1">Declaration!B81</f>
        <v>D. Have you implemented due diligence measures for responsible sourcing? (*)</v>
      </c>
      <c r="B58" s="102" t="str">
        <f>Declaration!D81</f>
        <v>No</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7.799999999999997">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7.799999999999997">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102"/>
      <c r="B61" s="102"/>
      <c r="C61" s="102"/>
      <c r="D61" s="108"/>
      <c r="E61" s="84"/>
      <c r="F61" s="107"/>
      <c r="G61" s="81"/>
      <c r="H61" s="82"/>
      <c r="I61" s="177"/>
    </row>
    <row r="62" spans="1:10" ht="37.799999999999997">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7.799999999999997">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7.799999999999997">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7.799999999999997">
      <c r="A65" s="102" t="s">
        <v>15454</v>
      </c>
      <c r="B65" s="102"/>
      <c r="C65" s="102" t="str">
        <f t="shared" ca="1" si="13"/>
        <v>Complete</v>
      </c>
      <c r="D65" s="108" t="str">
        <f>IF(H65=0,"","Click here to provide smelter information")</f>
        <v/>
      </c>
      <c r="E65" s="84" t="s">
        <v>1307</v>
      </c>
      <c r="F65" s="107">
        <f>F24</f>
        <v>1</v>
      </c>
      <c r="G65" s="81">
        <f>IF(AND(COUNTIF(SmelterIdetifiedForMetal,"Tantalum")&gt;0,COUNTIF('Smelter List'!AB$5:AB$2504,"Tantalum?*")&gt;0),0,1)</f>
        <v>0</v>
      </c>
      <c r="H65" s="82">
        <f t="shared"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7.799999999999997">
      <c r="A66" s="102" t="s">
        <v>1867</v>
      </c>
      <c r="B66" s="102"/>
      <c r="C66" s="102" t="str">
        <f t="shared" ca="1" si="13"/>
        <v>Complete</v>
      </c>
      <c r="D66" s="108" t="str">
        <f>IF(H66=0,"","Click here to provide smelter information")</f>
        <v/>
      </c>
      <c r="E66" s="84" t="s">
        <v>807</v>
      </c>
      <c r="F66" s="107">
        <f>F25</f>
        <v>1</v>
      </c>
      <c r="G66" s="81">
        <f>IF(AND(COUNTIF(SmelterIdetifiedForMetal,"Tin")&gt;0,COUNTIF('Smelter List'!AB$5:AB$2504,"Tin?*")&gt;0),0,1)</f>
        <v>0</v>
      </c>
      <c r="H66" s="82">
        <f t="shared"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7.799999999999997">
      <c r="A67" s="102" t="s">
        <v>1868</v>
      </c>
      <c r="B67" s="102"/>
      <c r="C67" s="102" t="str">
        <f t="shared" ca="1" si="13"/>
        <v>Complete</v>
      </c>
      <c r="D67" s="108" t="str">
        <f>IF(H67=0,"","Click here to provide smelter information")</f>
        <v/>
      </c>
      <c r="E67" s="84" t="s">
        <v>807</v>
      </c>
      <c r="F67" s="107">
        <f>F26</f>
        <v>1</v>
      </c>
      <c r="G67" s="81">
        <f>IF(AND(COUNTIF(SmelterIdetifiedForMetal,"Gold")&gt;0,COUNTIF('Smelter List'!AB$5:AB$2504,"Gold?*")&gt;0),0,1)</f>
        <v>0</v>
      </c>
      <c r="H67" s="82">
        <f t="shared"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7.799999999999997">
      <c r="A68" s="102" t="s">
        <v>1869</v>
      </c>
      <c r="B68" s="102"/>
      <c r="C68" s="102" t="str">
        <f t="shared" ca="1" si="13"/>
        <v>Complete</v>
      </c>
      <c r="D68" s="108" t="str">
        <f>IF(H68=0,"","Click here to provide smelter information")</f>
        <v/>
      </c>
      <c r="E68" s="84" t="s">
        <v>807</v>
      </c>
      <c r="F68" s="107">
        <f>F27</f>
        <v>1</v>
      </c>
      <c r="G68" s="81">
        <f>IF(AND(COUNTIF(SmelterIdetifiedForMetal,"Tungsten")&gt;0,COUNTIF('Smelter List'!AB$5:AB$2504,"Tungsten?*")&gt;0),0,1)</f>
        <v>0</v>
      </c>
      <c r="H68" s="82">
        <f t="shared"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4.6">
      <c r="A69" s="193" t="s">
        <v>2380</v>
      </c>
      <c r="B69" s="102"/>
      <c r="C69" s="193" t="str">
        <f>IF(F69=0,J69,IF(G69=0,I69,L69))</f>
        <v>N/A</v>
      </c>
      <c r="D69" s="108"/>
      <c r="E69" s="84"/>
      <c r="F69" s="107">
        <f>IF(COUNTIF('Smelter List'!C5:C2504,"Smelter not listed")=0,0,1)</f>
        <v>0</v>
      </c>
      <c r="G69" s="81" t="e">
        <f>IF(OR(SUMPRODUCT(('Smelter List'!C5:C2504="Smelter not listed")*('Smelter List'!D5:D2504=""))&gt;0,SUMPRODUCT(('Smelter List'!C5:C2504="Smelter not listed")*('Smelter List'!E5:E2504=""))&gt;0),1,0)</f>
        <v>#N/A</v>
      </c>
      <c r="H69" s="82" t="e">
        <f t="shared" si="14"/>
        <v>#N/A</v>
      </c>
      <c r="I69" s="177" t="str">
        <f ca="1">OFFSET(L!$C$1,MATCH("Checker"&amp;"Comp",L!$A:$A,0)-1,SL,,)</f>
        <v>Complete</v>
      </c>
      <c r="J69" s="22" t="s">
        <v>2381</v>
      </c>
      <c r="K69" s="184"/>
      <c r="L69" s="22" t="s">
        <v>2382</v>
      </c>
    </row>
    <row r="70" spans="1:12">
      <c r="H70" s="22" t="e">
        <f>SUM(H4:H69)</f>
        <v>#N/A</v>
      </c>
    </row>
    <row r="71" spans="1:12">
      <c r="A71" s="24"/>
    </row>
    <row r="72" spans="1:12">
      <c r="A72" s="24"/>
    </row>
    <row r="73" spans="1:12" ht="12.6"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5546875" defaultRowHeight="12.3"/>
  <cols>
    <col min="1" max="1" width="3.140625" style="116" customWidth="1"/>
    <col min="2" max="2" width="39.85546875" style="117" customWidth="1"/>
    <col min="3" max="3" width="39.85546875" style="116" customWidth="1"/>
    <col min="4" max="4" width="58.85546875" style="116" customWidth="1"/>
    <col min="5" max="5" width="1.6171875" style="116" customWidth="1"/>
    <col min="6" max="6" width="9" customWidth="1"/>
    <col min="7" max="16384" width="8.85546875" style="26"/>
  </cols>
  <sheetData>
    <row r="1" spans="1:6" ht="35.1" customHeight="1" thickTop="1">
      <c r="A1" s="452" t="str">
        <f ca="1">OFFSET(L!$C$1,MATCH("Product List"&amp;ADDRESS(ROW(),COLUMN(),4),L!$A:$A,0)-1,SL,,)</f>
        <v>Completion required only if reporting level "Product (or List of Products)" selected on the 'Declaration' worksheet.</v>
      </c>
      <c r="B1" s="453"/>
      <c r="C1" s="453"/>
      <c r="D1" s="453"/>
      <c r="E1" s="145"/>
    </row>
    <row r="2" spans="1:6">
      <c r="A2" s="29"/>
      <c r="B2" s="147"/>
      <c r="C2" s="147"/>
      <c r="D2"/>
      <c r="E2" s="30"/>
    </row>
    <row r="3" spans="1:6">
      <c r="A3" s="29"/>
      <c r="B3" s="147"/>
      <c r="C3" s="147"/>
      <c r="D3" s="147"/>
      <c r="E3" s="30"/>
    </row>
    <row r="4" spans="1:6" ht="15.75" customHeight="1">
      <c r="A4" s="29"/>
      <c r="B4" s="451" t="s">
        <v>898</v>
      </c>
      <c r="C4" s="451"/>
      <c r="D4" s="451"/>
      <c r="E4" s="30"/>
    </row>
    <row r="5" spans="1:6"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
      <c r="A6" s="157"/>
      <c r="B6" s="148"/>
      <c r="C6" s="111"/>
      <c r="D6" s="111"/>
      <c r="E6" s="32"/>
      <c r="F6"/>
    </row>
    <row r="7" spans="1:6" s="33" customFormat="1" ht="15">
      <c r="A7" s="158"/>
      <c r="B7" s="148"/>
      <c r="C7" s="111"/>
      <c r="D7" s="111"/>
      <c r="E7" s="32"/>
      <c r="F7"/>
    </row>
    <row r="8" spans="1:6" s="33" customFormat="1" ht="15">
      <c r="A8" s="158"/>
      <c r="B8" s="148"/>
      <c r="C8" s="111"/>
      <c r="D8" s="111"/>
      <c r="E8" s="32"/>
      <c r="F8"/>
    </row>
    <row r="9" spans="1:6" s="33" customFormat="1" ht="15">
      <c r="A9" s="158"/>
      <c r="B9" s="148"/>
      <c r="C9" s="111"/>
      <c r="D9" s="111"/>
      <c r="E9" s="32"/>
      <c r="F9"/>
    </row>
    <row r="10" spans="1:6" s="33" customFormat="1" ht="15">
      <c r="A10" s="158"/>
      <c r="B10" s="148"/>
      <c r="C10" s="111"/>
      <c r="D10" s="111"/>
      <c r="E10" s="32"/>
      <c r="F10"/>
    </row>
    <row r="11" spans="1:6" s="33" customFormat="1" ht="15">
      <c r="A11" s="158"/>
      <c r="B11" s="148"/>
      <c r="C11" s="111"/>
      <c r="D11" s="111"/>
      <c r="E11" s="32"/>
      <c r="F11"/>
    </row>
    <row r="12" spans="1:6" s="33" customFormat="1" ht="15">
      <c r="A12" s="158"/>
      <c r="B12" s="148"/>
      <c r="C12" s="111"/>
      <c r="D12" s="111"/>
      <c r="E12" s="32"/>
      <c r="F12"/>
    </row>
    <row r="13" spans="1:6" s="33" customFormat="1" ht="15">
      <c r="A13" s="158"/>
      <c r="B13" s="148"/>
      <c r="C13" s="111"/>
      <c r="D13" s="111"/>
      <c r="E13" s="32"/>
      <c r="F13"/>
    </row>
    <row r="14" spans="1:6" s="33" customFormat="1" ht="15">
      <c r="A14" s="158"/>
      <c r="B14" s="148"/>
      <c r="C14" s="111"/>
      <c r="D14" s="111"/>
      <c r="E14" s="32"/>
      <c r="F14"/>
    </row>
    <row r="15" spans="1:6" s="33" customFormat="1" ht="15">
      <c r="A15" s="158"/>
      <c r="B15" s="148"/>
      <c r="C15" s="111"/>
      <c r="D15" s="111"/>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35" customHeight="1" thickBot="1">
      <c r="A1001" s="159"/>
      <c r="B1001" s="454" t="str">
        <f ca="1">OFFSET(L!$C$1,MATCH("General"&amp;"Cpy",L!$A:$A,0)-1,SL,,)</f>
        <v>© 2021 Responsible Minerals Initiative. All rights reserved.</v>
      </c>
      <c r="C1001" s="454"/>
      <c r="D1001" s="454"/>
      <c r="E1001" s="31"/>
    </row>
    <row r="1002" spans="1:6" ht="12.6"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defaultColWidth="8.85546875" defaultRowHeight="12.3"/>
  <cols>
    <col min="1" max="1" width="9.140625" style="224" bestFit="1" customWidth="1"/>
    <col min="2" max="2" width="42.85546875" style="224" customWidth="1"/>
    <col min="3" max="3" width="63.85546875" style="224" customWidth="1"/>
    <col min="4" max="4" width="25.6171875" style="224" customWidth="1"/>
    <col min="5" max="5" width="12.6171875" style="224" customWidth="1"/>
    <col min="6" max="6" width="12.6171875" style="225" customWidth="1"/>
    <col min="7" max="7" width="15.37890625" style="224" customWidth="1"/>
    <col min="8" max="8" width="23.85546875" style="224" customWidth="1"/>
    <col min="9" max="9" width="28.140625" style="224" customWidth="1"/>
    <col min="10" max="10" width="48.234375" style="224" hidden="1" customWidth="1"/>
    <col min="11" max="11" width="49.76171875" style="224" hidden="1" customWidth="1"/>
    <col min="12" max="13" width="49.76171875" style="224" customWidth="1"/>
    <col min="14" max="16384" width="8.85546875" style="224"/>
  </cols>
  <sheetData>
    <row r="1" spans="1:16" ht="168.6" customHeight="1">
      <c r="A1" s="45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5"/>
      <c r="C1" s="455"/>
      <c r="D1" s="455"/>
      <c r="E1" s="455"/>
      <c r="F1" s="455"/>
      <c r="G1" s="455"/>
    </row>
    <row r="2" spans="1:16">
      <c r="A2" s="456"/>
      <c r="B2" s="456"/>
      <c r="C2" s="456"/>
      <c r="D2" s="456"/>
      <c r="E2" s="456"/>
      <c r="F2" s="456"/>
      <c r="G2" s="456"/>
      <c r="H2" s="456"/>
      <c r="I2" s="456"/>
    </row>
    <row r="3" spans="1:16">
      <c r="A3" s="456"/>
      <c r="B3" s="456"/>
      <c r="C3" s="456"/>
      <c r="D3" s="456"/>
      <c r="E3" s="456"/>
      <c r="F3" s="456"/>
      <c r="G3" s="456"/>
      <c r="H3" s="456"/>
      <c r="I3" s="456"/>
    </row>
    <row r="4" spans="1:16" s="227" customFormat="1" ht="49.2">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2.6"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J308" sqref="J308"/>
    </sheetView>
  </sheetViews>
  <sheetFormatPr defaultColWidth="8.85546875" defaultRowHeight="14.1"/>
  <cols>
    <col min="1" max="1" width="14.6171875" style="288" customWidth="1"/>
    <col min="2" max="2" width="14" style="288" customWidth="1"/>
    <col min="3" max="3" width="6.140625" style="288" customWidth="1"/>
    <col min="4" max="4" width="56.234375" style="288" customWidth="1"/>
    <col min="5" max="5" width="53.76171875" style="283" customWidth="1"/>
    <col min="6" max="6" width="54.140625" style="288" customWidth="1"/>
    <col min="7" max="7" width="68.234375" style="291" customWidth="1"/>
    <col min="8" max="8" width="49.234375" style="288" customWidth="1"/>
    <col min="9" max="9" width="51.6171875" style="288" customWidth="1"/>
    <col min="10" max="10" width="50.234375" style="288" customWidth="1"/>
    <col min="11" max="11" width="51.85546875" style="252" customWidth="1"/>
    <col min="12" max="12" width="66.85546875" style="318" customWidth="1"/>
    <col min="13" max="13" width="46.140625" style="185" customWidth="1"/>
    <col min="14" max="15" width="8.85546875" style="185" customWidth="1"/>
    <col min="16" max="16384" width="8.85546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4.6">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66.6">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2.3">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8.2">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42.3">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2.3">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2.3">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42.3">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84.6">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28.2">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98.7">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28.2">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84.6">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2.3">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2.3">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47.6">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10.7">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42.3">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388.8">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09.1">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47.5">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15.2">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15.2">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2.3">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57.6">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112.8">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26.9">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00.8">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380.7">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01.6">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197.4">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100.8">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2.3">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8.2">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86.4">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70.5">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6.4">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55.1">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4.6">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98.7">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26.9">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84.6">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3.2">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3.2">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49.2">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80.7">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84.6">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69.2">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197.4">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15.2">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56.4">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211.5">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28.2">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38.4">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69.2">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55.1">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324.3">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112.8">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42.3">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ht="28.2">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84.6">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8.2">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2.3">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8.2">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8.2">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8.2">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8.2">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8.2">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8.2">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5"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8.2">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8.2">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8.2">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8.2">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4.6">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72.2">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41">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55.1">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70.5">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41">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12.8">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41">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53.8">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26.9">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24.3">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25.6">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8.2">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70.5">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8.2">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55.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112.8">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282">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67.89999999999998">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8.2">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55.1">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84.6">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211.5">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211.5">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197.4">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8.2">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8.2">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42.3">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43.2">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6.4">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ht="28.2">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ht="28.2">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8.2">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8.2">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8.2">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8.2">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ht="28.2">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28.2">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28.8">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14.4">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49.2">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6.9">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36.9">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28.8">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28.8">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6.9">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ht="28.2">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8.2">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70.5">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49.2">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6.9">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28.8">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42.3">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28.2">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28.8">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14.4">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28.2">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28.2">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28.2">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28.2">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ht="28.2">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28.2">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28.2">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28.2">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ht="28.2">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ht="28.2">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ht="28.2">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28.2">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8.2">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8.2">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8.2">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8.2">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8.2">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8.2">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8.2">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2.3">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2.3">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6.4">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28.2">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2.3">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ht="28.2">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ht="28.2">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ht="28.2">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6.4">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8.2">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28.2">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8.2">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8.2">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28.2">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8.2">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2.3">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42.3">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28.2">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42.3">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42.3">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42.3">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42.3">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6.4">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6.4">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6.4">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6.4">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70.5">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70.5">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70.5">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70.5">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70.5">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70.5">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70.5">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70.5">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70.5">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70.5">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56.4">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70.5">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42.3">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6.4">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6.4">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6.4">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2.3">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2.3">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2.3">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2.3">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6.4">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56.4">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6.4">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98.7">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56.4">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56.4">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2.3">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42.3">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42.3">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42.3">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8.2">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4.6">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2">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8.2">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70.5">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8.2">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28.2">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84.6">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5546875" defaultRowHeight="12.3"/>
  <cols>
    <col min="1" max="1" width="20.6171875" style="76" customWidth="1"/>
    <col min="2" max="2" width="57.140625" style="76" customWidth="1"/>
    <col min="3" max="16384" width="8.85546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35" workbookViewId="0">
      <selection activeCell="O4751" sqref="O4751"/>
    </sheetView>
  </sheetViews>
  <sheetFormatPr defaultColWidth="8.85546875" defaultRowHeight="12.3"/>
  <cols>
    <col min="1" max="1" width="11.140625" customWidth="1"/>
    <col min="2" max="2" width="25.761718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microsoft.com/office/2006/documentManagement/types"/>
    <ds:schemaRef ds:uri="http://www.w3.org/XML/1998/namespace"/>
    <ds:schemaRef ds:uri="http://purl.org/dc/dcmitype/"/>
    <ds:schemaRef ds:uri="060324a1-f66f-4c36-a8ec-beadbf2f4219"/>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Mikayla Skolaski</cp:lastModifiedBy>
  <cp:lastPrinted>2015-04-21T20:47:43Z</cp:lastPrinted>
  <dcterms:created xsi:type="dcterms:W3CDTF">2010-06-21T21:00:23Z</dcterms:created>
  <dcterms:modified xsi:type="dcterms:W3CDTF">2021-06-24T01:14:46Z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